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Оказание услуг по очистке кровли_27.11.2025\43_25\"/>
    </mc:Choice>
  </mc:AlternateContent>
  <xr:revisionPtr revIDLastSave="0" documentId="8_{EB9ACA8A-0050-4DE7-9DA3-61EE06B32855}" xr6:coauthVersionLast="45" xr6:coauthVersionMax="45" xr10:uidLastSave="{00000000-0000-0000-0000-000000000000}"/>
  <bookViews>
    <workbookView xWindow="-25630" yWindow="-1376" windowWidth="20633" windowHeight="10779" xr2:uid="{00000000-000D-0000-FFFF-FFFF00000000}"/>
  </bookViews>
  <sheets>
    <sheet name="Смета СН-2012 по гл. 1-5" sheetId="7" r:id="rId1"/>
    <sheet name="Ведомость объемов работ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'Ведомость объемов работ'!$9:$9</definedName>
    <definedName name="_xlnm.Print_Titles" localSheetId="0">'Смета СН-2012 по гл. 1-5'!$30:$30</definedName>
    <definedName name="_xlnm.Print_Area" localSheetId="1">'Ведомость объемов работ'!$A$1:$H$27</definedName>
    <definedName name="_xlnm.Print_Area" localSheetId="0">'Смета СН-2012 по гл. 1-5'!$A$1:$K$110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R103" i="1" l="1"/>
  <c r="AI103" i="1"/>
  <c r="AH103" i="1"/>
  <c r="AF103" i="1"/>
  <c r="AE103" i="1"/>
  <c r="AD103" i="1" s="1"/>
  <c r="AC103" i="1"/>
  <c r="I104" i="1"/>
  <c r="G20" i="8" s="1"/>
  <c r="CR67" i="1"/>
  <c r="AI67" i="1"/>
  <c r="AH67" i="1"/>
  <c r="AF67" i="1"/>
  <c r="AE67" i="1"/>
  <c r="AD67" i="1" s="1"/>
  <c r="AC67" i="1"/>
  <c r="AI31" i="1"/>
  <c r="AI30" i="1"/>
  <c r="AH31" i="1"/>
  <c r="AH30" i="1"/>
  <c r="AF31" i="1"/>
  <c r="AF30" i="1"/>
  <c r="AE31" i="1"/>
  <c r="AD31" i="1" s="1"/>
  <c r="AE30" i="1"/>
  <c r="AD30" i="1"/>
  <c r="AC31" i="1"/>
  <c r="AC30" i="1"/>
  <c r="CR31" i="1"/>
  <c r="CR30" i="1"/>
  <c r="CR29" i="1"/>
  <c r="CR28" i="1"/>
  <c r="AI29" i="1"/>
  <c r="AH29" i="1"/>
  <c r="AF29" i="1"/>
  <c r="AE29" i="1"/>
  <c r="AD29" i="1"/>
  <c r="AC29" i="1"/>
  <c r="AI28" i="1"/>
  <c r="AH28" i="1"/>
  <c r="AF28" i="1"/>
  <c r="AE28" i="1"/>
  <c r="AC28" i="1"/>
  <c r="I31" i="1"/>
  <c r="K31" i="1"/>
  <c r="K30" i="1"/>
  <c r="I30" i="1"/>
  <c r="K28" i="1"/>
  <c r="I28" i="1"/>
  <c r="K103" i="1"/>
  <c r="I103" i="1"/>
  <c r="K104" i="1"/>
  <c r="K67" i="1"/>
  <c r="I67" i="1"/>
  <c r="K29" i="1"/>
  <c r="I29" i="1"/>
  <c r="D25" i="8"/>
  <c r="D23" i="8"/>
  <c r="F20" i="8"/>
  <c r="C20" i="8"/>
  <c r="B20" i="8"/>
  <c r="G19" i="8"/>
  <c r="F19" i="8"/>
  <c r="C19" i="8"/>
  <c r="B19" i="8"/>
  <c r="A18" i="8"/>
  <c r="G17" i="8"/>
  <c r="F17" i="8"/>
  <c r="C17" i="8"/>
  <c r="B17" i="8"/>
  <c r="AF16" i="8"/>
  <c r="A16" i="8"/>
  <c r="G15" i="8"/>
  <c r="F15" i="8"/>
  <c r="C15" i="8"/>
  <c r="B15" i="8"/>
  <c r="G14" i="8"/>
  <c r="F14" i="8"/>
  <c r="C14" i="8"/>
  <c r="B14" i="8"/>
  <c r="G13" i="8"/>
  <c r="F13" i="8"/>
  <c r="C13" i="8"/>
  <c r="B13" i="8"/>
  <c r="G12" i="8"/>
  <c r="F12" i="8"/>
  <c r="C12" i="8"/>
  <c r="B12" i="8"/>
  <c r="AF11" i="8"/>
  <c r="A11" i="8"/>
  <c r="B5" i="8"/>
  <c r="B4" i="8"/>
  <c r="A1" i="8"/>
  <c r="C110" i="7"/>
  <c r="C109" i="7"/>
  <c r="C106" i="7"/>
  <c r="C105" i="7"/>
  <c r="C104" i="7"/>
  <c r="H96" i="7"/>
  <c r="G96" i="7"/>
  <c r="E96" i="7"/>
  <c r="E95" i="7"/>
  <c r="E94" i="7"/>
  <c r="E93" i="7"/>
  <c r="I92" i="7"/>
  <c r="H92" i="7"/>
  <c r="G92" i="7"/>
  <c r="F92" i="7"/>
  <c r="I91" i="7"/>
  <c r="H91" i="7"/>
  <c r="G91" i="7"/>
  <c r="F91" i="7"/>
  <c r="I90" i="7"/>
  <c r="H90" i="7"/>
  <c r="G90" i="7"/>
  <c r="F90" i="7"/>
  <c r="D89" i="7"/>
  <c r="C89" i="7"/>
  <c r="B89" i="7"/>
  <c r="H87" i="7"/>
  <c r="G87" i="7"/>
  <c r="E87" i="7"/>
  <c r="E86" i="7"/>
  <c r="E85" i="7"/>
  <c r="I84" i="7"/>
  <c r="H84" i="7"/>
  <c r="G84" i="7"/>
  <c r="F84" i="7"/>
  <c r="D82" i="7"/>
  <c r="C82" i="7"/>
  <c r="B82" i="7"/>
  <c r="AE81" i="7"/>
  <c r="A81" i="7"/>
  <c r="H75" i="7"/>
  <c r="G75" i="7"/>
  <c r="E75" i="7"/>
  <c r="E74" i="7"/>
  <c r="E73" i="7"/>
  <c r="I72" i="7"/>
  <c r="H72" i="7"/>
  <c r="G72" i="7"/>
  <c r="F72" i="7"/>
  <c r="D70" i="7"/>
  <c r="C70" i="7"/>
  <c r="B70" i="7"/>
  <c r="AE69" i="7"/>
  <c r="A69" i="7"/>
  <c r="E63" i="7"/>
  <c r="I62" i="7"/>
  <c r="H62" i="7"/>
  <c r="G62" i="7"/>
  <c r="F62" i="7"/>
  <c r="I61" i="7"/>
  <c r="H61" i="7"/>
  <c r="G61" i="7"/>
  <c r="F61" i="7"/>
  <c r="D59" i="7"/>
  <c r="C59" i="7"/>
  <c r="B59" i="7"/>
  <c r="H57" i="7"/>
  <c r="G57" i="7"/>
  <c r="E57" i="7"/>
  <c r="E56" i="7"/>
  <c r="E55" i="7"/>
  <c r="I54" i="7"/>
  <c r="H54" i="7"/>
  <c r="G54" i="7"/>
  <c r="F54" i="7"/>
  <c r="D52" i="7"/>
  <c r="C52" i="7"/>
  <c r="B52" i="7"/>
  <c r="H50" i="7"/>
  <c r="G50" i="7"/>
  <c r="E50" i="7"/>
  <c r="E49" i="7"/>
  <c r="E48" i="7"/>
  <c r="E47" i="7"/>
  <c r="I46" i="7"/>
  <c r="H46" i="7"/>
  <c r="G46" i="7"/>
  <c r="F46" i="7"/>
  <c r="I45" i="7"/>
  <c r="H45" i="7"/>
  <c r="G45" i="7"/>
  <c r="F45" i="7"/>
  <c r="I44" i="7"/>
  <c r="H44" i="7"/>
  <c r="G44" i="7"/>
  <c r="F44" i="7"/>
  <c r="D42" i="7"/>
  <c r="C42" i="7"/>
  <c r="B42" i="7"/>
  <c r="H40" i="7"/>
  <c r="G40" i="7"/>
  <c r="E40" i="7"/>
  <c r="E39" i="7"/>
  <c r="E38" i="7"/>
  <c r="I37" i="7"/>
  <c r="H37" i="7"/>
  <c r="G37" i="7"/>
  <c r="F37" i="7"/>
  <c r="D35" i="7"/>
  <c r="C35" i="7"/>
  <c r="B35" i="7"/>
  <c r="AE34" i="7"/>
  <c r="A34" i="7"/>
  <c r="A18" i="7"/>
  <c r="G6" i="7"/>
  <c r="B6" i="7"/>
  <c r="A1" i="7"/>
  <c r="AD28" i="1" l="1"/>
  <c r="E20" i="8"/>
  <c r="E89" i="7"/>
  <c r="A1" i="4"/>
  <c r="A2" i="4"/>
  <c r="A3" i="4"/>
  <c r="A4" i="4"/>
  <c r="A5" i="4"/>
  <c r="A6" i="4"/>
  <c r="A7" i="4"/>
  <c r="A8" i="4"/>
  <c r="A9" i="4"/>
  <c r="A10" i="4"/>
  <c r="A1" i="3"/>
  <c r="Y1" i="3"/>
  <c r="CY1" i="3"/>
  <c r="CZ1" i="3"/>
  <c r="DB1" i="3" s="1"/>
  <c r="DA1" i="3"/>
  <c r="DC1" i="3"/>
  <c r="A2" i="3"/>
  <c r="Y2" i="3"/>
  <c r="CV2" i="3" s="1"/>
  <c r="CY2" i="3"/>
  <c r="CZ2" i="3"/>
  <c r="DB2" i="3" s="1"/>
  <c r="DA2" i="3"/>
  <c r="DC2" i="3"/>
  <c r="A3" i="3"/>
  <c r="Y3" i="3"/>
  <c r="CY3" i="3"/>
  <c r="CZ3" i="3"/>
  <c r="DB3" i="3" s="1"/>
  <c r="DA3" i="3"/>
  <c r="DC3" i="3"/>
  <c r="A4" i="3"/>
  <c r="Y4" i="3"/>
  <c r="CY4" i="3"/>
  <c r="CZ4" i="3"/>
  <c r="DB4" i="3" s="1"/>
  <c r="DA4" i="3"/>
  <c r="DC4" i="3"/>
  <c r="A5" i="3"/>
  <c r="Y5" i="3"/>
  <c r="CY5" i="3"/>
  <c r="CZ5" i="3"/>
  <c r="DA5" i="3"/>
  <c r="DB5" i="3"/>
  <c r="DC5" i="3"/>
  <c r="A6" i="3"/>
  <c r="Y6" i="3"/>
  <c r="CY6" i="3"/>
  <c r="CZ6" i="3"/>
  <c r="DB6" i="3" s="1"/>
  <c r="DA6" i="3"/>
  <c r="DC6" i="3"/>
  <c r="A7" i="3"/>
  <c r="Y7" i="3"/>
  <c r="CY7" i="3"/>
  <c r="CZ7" i="3"/>
  <c r="DB7" i="3" s="1"/>
  <c r="DA7" i="3"/>
  <c r="DC7" i="3"/>
  <c r="A8" i="3"/>
  <c r="Y8" i="3"/>
  <c r="CY8" i="3"/>
  <c r="CZ8" i="3"/>
  <c r="DB8" i="3" s="1"/>
  <c r="DA8" i="3"/>
  <c r="DC8" i="3"/>
  <c r="A9" i="3"/>
  <c r="Y9" i="3"/>
  <c r="CV9" i="3" s="1"/>
  <c r="CU9" i="3"/>
  <c r="CY9" i="3"/>
  <c r="CZ9" i="3"/>
  <c r="DB9" i="3" s="1"/>
  <c r="DA9" i="3"/>
  <c r="DC9" i="3"/>
  <c r="A10" i="3"/>
  <c r="Y10" i="3"/>
  <c r="CW10" i="3" s="1"/>
  <c r="CX10" i="3"/>
  <c r="DI10" i="3" s="1"/>
  <c r="CY10" i="3"/>
  <c r="CZ10" i="3"/>
  <c r="DB10" i="3" s="1"/>
  <c r="DA10" i="3"/>
  <c r="DC10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CQ28" i="1"/>
  <c r="P28" i="1" s="1"/>
  <c r="Q28" i="1"/>
  <c r="AG28" i="1"/>
  <c r="CV28" i="1"/>
  <c r="CW28" i="1"/>
  <c r="V28" i="1" s="1"/>
  <c r="AJ28" i="1"/>
  <c r="CX28" i="1" s="1"/>
  <c r="CU28" i="1"/>
  <c r="T28" i="1" s="1"/>
  <c r="FR28" i="1"/>
  <c r="GL28" i="1"/>
  <c r="GN28" i="1"/>
  <c r="GO28" i="1"/>
  <c r="GV28" i="1"/>
  <c r="HC28" i="1" s="1"/>
  <c r="C29" i="1"/>
  <c r="D29" i="1"/>
  <c r="AG29" i="1"/>
  <c r="CU29" i="1" s="1"/>
  <c r="T29" i="1" s="1"/>
  <c r="CV29" i="1"/>
  <c r="U29" i="1" s="1"/>
  <c r="K50" i="7" s="1"/>
  <c r="CW29" i="1"/>
  <c r="V29" i="1" s="1"/>
  <c r="AJ29" i="1"/>
  <c r="Q29" i="1"/>
  <c r="J45" i="7" s="1"/>
  <c r="CX29" i="1"/>
  <c r="FR29" i="1"/>
  <c r="GL29" i="1"/>
  <c r="GN29" i="1"/>
  <c r="GO29" i="1"/>
  <c r="GV29" i="1"/>
  <c r="HC29" i="1" s="1"/>
  <c r="GX29" i="1" s="1"/>
  <c r="C30" i="1"/>
  <c r="D30" i="1"/>
  <c r="CQ30" i="1"/>
  <c r="P30" i="1" s="1"/>
  <c r="U52" i="7"/>
  <c r="AG30" i="1"/>
  <c r="CU30" i="1" s="1"/>
  <c r="T30" i="1" s="1"/>
  <c r="CV30" i="1"/>
  <c r="U30" i="1" s="1"/>
  <c r="K57" i="7" s="1"/>
  <c r="CW30" i="1"/>
  <c r="V30" i="1" s="1"/>
  <c r="AJ30" i="1"/>
  <c r="CX30" i="1" s="1"/>
  <c r="W30" i="1" s="1"/>
  <c r="Q30" i="1"/>
  <c r="CS30" i="1"/>
  <c r="FR30" i="1"/>
  <c r="GL30" i="1"/>
  <c r="GN30" i="1"/>
  <c r="GO30" i="1"/>
  <c r="GV30" i="1"/>
  <c r="HC30" i="1" s="1"/>
  <c r="GX30" i="1" s="1"/>
  <c r="C31" i="1"/>
  <c r="D31" i="1"/>
  <c r="CQ31" i="1"/>
  <c r="CT31" i="1"/>
  <c r="S31" i="1" s="1"/>
  <c r="AG31" i="1"/>
  <c r="CU31" i="1" s="1"/>
  <c r="CV31" i="1"/>
  <c r="U31" i="1" s="1"/>
  <c r="CW31" i="1"/>
  <c r="V31" i="1" s="1"/>
  <c r="AJ31" i="1"/>
  <c r="CX31" i="1" s="1"/>
  <c r="W31" i="1" s="1"/>
  <c r="FR31" i="1"/>
  <c r="GL31" i="1"/>
  <c r="GN31" i="1"/>
  <c r="GO31" i="1"/>
  <c r="GV31" i="1"/>
  <c r="HC31" i="1" s="1"/>
  <c r="GX31" i="1" s="1"/>
  <c r="B33" i="1"/>
  <c r="B26" i="1" s="1"/>
  <c r="C33" i="1"/>
  <c r="C26" i="1" s="1"/>
  <c r="D33" i="1"/>
  <c r="D26" i="1" s="1"/>
  <c r="F33" i="1"/>
  <c r="F26" i="1" s="1"/>
  <c r="G33" i="1"/>
  <c r="BX33" i="1"/>
  <c r="AO33" i="1" s="1"/>
  <c r="CK33" i="1"/>
  <c r="CK26" i="1" s="1"/>
  <c r="CL33" i="1"/>
  <c r="BC33" i="1" s="1"/>
  <c r="CM33" i="1"/>
  <c r="CM26" i="1" s="1"/>
  <c r="D63" i="1"/>
  <c r="E65" i="1"/>
  <c r="Z65" i="1"/>
  <c r="AA65" i="1"/>
  <c r="AM65" i="1"/>
  <c r="AN65" i="1"/>
  <c r="AO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CN65" i="1"/>
  <c r="CO65" i="1"/>
  <c r="CP65" i="1"/>
  <c r="CQ65" i="1"/>
  <c r="CR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EC65" i="1"/>
  <c r="ED65" i="1"/>
  <c r="EE65" i="1"/>
  <c r="EF65" i="1"/>
  <c r="EG65" i="1"/>
  <c r="EH65" i="1"/>
  <c r="EI65" i="1"/>
  <c r="EJ65" i="1"/>
  <c r="EK65" i="1"/>
  <c r="EL65" i="1"/>
  <c r="EM65" i="1"/>
  <c r="EN65" i="1"/>
  <c r="EO65" i="1"/>
  <c r="EP65" i="1"/>
  <c r="EQ65" i="1"/>
  <c r="ER65" i="1"/>
  <c r="ES65" i="1"/>
  <c r="ET65" i="1"/>
  <c r="EU65" i="1"/>
  <c r="EV65" i="1"/>
  <c r="EW65" i="1"/>
  <c r="EX65" i="1"/>
  <c r="EY65" i="1"/>
  <c r="EZ65" i="1"/>
  <c r="FA65" i="1"/>
  <c r="FB65" i="1"/>
  <c r="FC65" i="1"/>
  <c r="FD65" i="1"/>
  <c r="FE65" i="1"/>
  <c r="FF65" i="1"/>
  <c r="FG65" i="1"/>
  <c r="FH65" i="1"/>
  <c r="FI65" i="1"/>
  <c r="FJ65" i="1"/>
  <c r="FK65" i="1"/>
  <c r="FL65" i="1"/>
  <c r="FM65" i="1"/>
  <c r="FN65" i="1"/>
  <c r="FO65" i="1"/>
  <c r="FP65" i="1"/>
  <c r="FQ65" i="1"/>
  <c r="FR65" i="1"/>
  <c r="FS65" i="1"/>
  <c r="FT65" i="1"/>
  <c r="FU65" i="1"/>
  <c r="FV65" i="1"/>
  <c r="FW65" i="1"/>
  <c r="FX65" i="1"/>
  <c r="FY65" i="1"/>
  <c r="FZ65" i="1"/>
  <c r="GA65" i="1"/>
  <c r="GB65" i="1"/>
  <c r="GC65" i="1"/>
  <c r="GD65" i="1"/>
  <c r="GE65" i="1"/>
  <c r="GF65" i="1"/>
  <c r="GG65" i="1"/>
  <c r="GH65" i="1"/>
  <c r="GI65" i="1"/>
  <c r="GJ65" i="1"/>
  <c r="GK65" i="1"/>
  <c r="GL65" i="1"/>
  <c r="GM65" i="1"/>
  <c r="GN65" i="1"/>
  <c r="GO65" i="1"/>
  <c r="GP65" i="1"/>
  <c r="GQ65" i="1"/>
  <c r="GR65" i="1"/>
  <c r="GS65" i="1"/>
  <c r="GT65" i="1"/>
  <c r="GU65" i="1"/>
  <c r="GV65" i="1"/>
  <c r="GW65" i="1"/>
  <c r="GX65" i="1"/>
  <c r="C67" i="1"/>
  <c r="D67" i="1"/>
  <c r="U70" i="7"/>
  <c r="AG67" i="1"/>
  <c r="CV67" i="1"/>
  <c r="CW67" i="1"/>
  <c r="V67" i="1" s="1"/>
  <c r="AI69" i="1" s="1"/>
  <c r="AJ67" i="1"/>
  <c r="CX67" i="1" s="1"/>
  <c r="CU67" i="1"/>
  <c r="FR67" i="1"/>
  <c r="BY69" i="1" s="1"/>
  <c r="BY65" i="1" s="1"/>
  <c r="GL67" i="1"/>
  <c r="GN67" i="1"/>
  <c r="CB69" i="1" s="1"/>
  <c r="CB65" i="1" s="1"/>
  <c r="GO67" i="1"/>
  <c r="CC69" i="1" s="1"/>
  <c r="GV67" i="1"/>
  <c r="HC67" i="1" s="1"/>
  <c r="GX67" i="1" s="1"/>
  <c r="CJ69" i="1" s="1"/>
  <c r="B69" i="1"/>
  <c r="B65" i="1" s="1"/>
  <c r="C69" i="1"/>
  <c r="C65" i="1" s="1"/>
  <c r="D69" i="1"/>
  <c r="D65" i="1" s="1"/>
  <c r="F69" i="1"/>
  <c r="F65" i="1" s="1"/>
  <c r="G69" i="1"/>
  <c r="BX69" i="1"/>
  <c r="AO69" i="1" s="1"/>
  <c r="BZ69" i="1"/>
  <c r="CK69" i="1"/>
  <c r="BB69" i="1" s="1"/>
  <c r="CL69" i="1"/>
  <c r="BC69" i="1" s="1"/>
  <c r="CM69" i="1"/>
  <c r="BD69" i="1" s="1"/>
  <c r="F73" i="1"/>
  <c r="D99" i="1"/>
  <c r="E101" i="1"/>
  <c r="Z101" i="1"/>
  <c r="AA101" i="1"/>
  <c r="AM101" i="1"/>
  <c r="AN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T101" i="1"/>
  <c r="BU101" i="1"/>
  <c r="BV101" i="1"/>
  <c r="BW101" i="1"/>
  <c r="CN101" i="1"/>
  <c r="CO101" i="1"/>
  <c r="CP101" i="1"/>
  <c r="CQ101" i="1"/>
  <c r="CR101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DF101" i="1"/>
  <c r="DG101" i="1"/>
  <c r="DH101" i="1"/>
  <c r="DI101" i="1"/>
  <c r="DJ101" i="1"/>
  <c r="DK101" i="1"/>
  <c r="DL101" i="1"/>
  <c r="DM101" i="1"/>
  <c r="DN101" i="1"/>
  <c r="DO101" i="1"/>
  <c r="DP101" i="1"/>
  <c r="DQ101" i="1"/>
  <c r="DR101" i="1"/>
  <c r="DS101" i="1"/>
  <c r="DT101" i="1"/>
  <c r="DU101" i="1"/>
  <c r="DV101" i="1"/>
  <c r="DW101" i="1"/>
  <c r="DX101" i="1"/>
  <c r="DY101" i="1"/>
  <c r="DZ101" i="1"/>
  <c r="EA101" i="1"/>
  <c r="EB101" i="1"/>
  <c r="EC101" i="1"/>
  <c r="ED101" i="1"/>
  <c r="EE101" i="1"/>
  <c r="EF101" i="1"/>
  <c r="EG101" i="1"/>
  <c r="EH101" i="1"/>
  <c r="EI101" i="1"/>
  <c r="EJ101" i="1"/>
  <c r="EK101" i="1"/>
  <c r="EL101" i="1"/>
  <c r="EM101" i="1"/>
  <c r="EN101" i="1"/>
  <c r="EO101" i="1"/>
  <c r="EP101" i="1"/>
  <c r="EQ101" i="1"/>
  <c r="ER101" i="1"/>
  <c r="ES101" i="1"/>
  <c r="ET101" i="1"/>
  <c r="EU101" i="1"/>
  <c r="EV101" i="1"/>
  <c r="EW101" i="1"/>
  <c r="EX101" i="1"/>
  <c r="EY101" i="1"/>
  <c r="EZ101" i="1"/>
  <c r="FA101" i="1"/>
  <c r="FB101" i="1"/>
  <c r="FC101" i="1"/>
  <c r="FD101" i="1"/>
  <c r="FE101" i="1"/>
  <c r="FF101" i="1"/>
  <c r="FG101" i="1"/>
  <c r="FH101" i="1"/>
  <c r="FI101" i="1"/>
  <c r="FJ101" i="1"/>
  <c r="FK101" i="1"/>
  <c r="FL101" i="1"/>
  <c r="FM101" i="1"/>
  <c r="FN101" i="1"/>
  <c r="FO101" i="1"/>
  <c r="FP101" i="1"/>
  <c r="FQ101" i="1"/>
  <c r="FR101" i="1"/>
  <c r="FS101" i="1"/>
  <c r="FT101" i="1"/>
  <c r="FU101" i="1"/>
  <c r="FV101" i="1"/>
  <c r="FW101" i="1"/>
  <c r="FX101" i="1"/>
  <c r="FY101" i="1"/>
  <c r="FZ101" i="1"/>
  <c r="GA101" i="1"/>
  <c r="GB101" i="1"/>
  <c r="GC101" i="1"/>
  <c r="GD101" i="1"/>
  <c r="GE101" i="1"/>
  <c r="GF101" i="1"/>
  <c r="GG101" i="1"/>
  <c r="GH101" i="1"/>
  <c r="GI101" i="1"/>
  <c r="GJ101" i="1"/>
  <c r="GK101" i="1"/>
  <c r="GL101" i="1"/>
  <c r="GM101" i="1"/>
  <c r="GN101" i="1"/>
  <c r="GO101" i="1"/>
  <c r="GP101" i="1"/>
  <c r="GQ101" i="1"/>
  <c r="GR101" i="1"/>
  <c r="GS101" i="1"/>
  <c r="GT101" i="1"/>
  <c r="GU101" i="1"/>
  <c r="GV101" i="1"/>
  <c r="GW101" i="1"/>
  <c r="GX101" i="1"/>
  <c r="C103" i="1"/>
  <c r="D103" i="1"/>
  <c r="CX8" i="3"/>
  <c r="DH8" i="3" s="1"/>
  <c r="S103" i="1"/>
  <c r="J84" i="7" s="1"/>
  <c r="AG103" i="1"/>
  <c r="CU103" i="1" s="1"/>
  <c r="CW103" i="1"/>
  <c r="V103" i="1" s="1"/>
  <c r="AJ103" i="1"/>
  <c r="Q103" i="1"/>
  <c r="CS103" i="1"/>
  <c r="CT103" i="1"/>
  <c r="CV103" i="1"/>
  <c r="U103" i="1" s="1"/>
  <c r="K87" i="7" s="1"/>
  <c r="CX103" i="1"/>
  <c r="W103" i="1" s="1"/>
  <c r="FR103" i="1"/>
  <c r="BY106" i="1" s="1"/>
  <c r="BY101" i="1" s="1"/>
  <c r="GL103" i="1"/>
  <c r="GN103" i="1"/>
  <c r="GO103" i="1"/>
  <c r="GV103" i="1"/>
  <c r="HC103" i="1"/>
  <c r="GX103" i="1" s="1"/>
  <c r="C104" i="1"/>
  <c r="D104" i="1"/>
  <c r="AC104" i="1"/>
  <c r="AB104" i="1" s="1"/>
  <c r="AD104" i="1"/>
  <c r="AE104" i="1"/>
  <c r="U89" i="7" s="1"/>
  <c r="AF104" i="1"/>
  <c r="AG104" i="1"/>
  <c r="AH104" i="1"/>
  <c r="AI104" i="1"/>
  <c r="CW104" i="1" s="1"/>
  <c r="V104" i="1" s="1"/>
  <c r="AJ104" i="1"/>
  <c r="CR104" i="1"/>
  <c r="Q104" i="1" s="1"/>
  <c r="J91" i="7" s="1"/>
  <c r="CU104" i="1"/>
  <c r="T104" i="1" s="1"/>
  <c r="CV104" i="1"/>
  <c r="U104" i="1" s="1"/>
  <c r="K96" i="7" s="1"/>
  <c r="CX104" i="1"/>
  <c r="W104" i="1" s="1"/>
  <c r="FR104" i="1"/>
  <c r="GL104" i="1"/>
  <c r="GN104" i="1"/>
  <c r="GO104" i="1"/>
  <c r="GV104" i="1"/>
  <c r="HC104" i="1"/>
  <c r="GX104" i="1" s="1"/>
  <c r="B106" i="1"/>
  <c r="B101" i="1" s="1"/>
  <c r="C106" i="1"/>
  <c r="C101" i="1" s="1"/>
  <c r="D106" i="1"/>
  <c r="D101" i="1" s="1"/>
  <c r="F106" i="1"/>
  <c r="F101" i="1" s="1"/>
  <c r="G106" i="1"/>
  <c r="BC106" i="1"/>
  <c r="BC136" i="1" s="1"/>
  <c r="BX106" i="1"/>
  <c r="BX101" i="1" s="1"/>
  <c r="CB106" i="1"/>
  <c r="CB101" i="1" s="1"/>
  <c r="CK106" i="1"/>
  <c r="CK101" i="1" s="1"/>
  <c r="CL106" i="1"/>
  <c r="CL101" i="1" s="1"/>
  <c r="CM106" i="1"/>
  <c r="CM101" i="1" s="1"/>
  <c r="B136" i="1"/>
  <c r="B22" i="1" s="1"/>
  <c r="C136" i="1"/>
  <c r="C22" i="1" s="1"/>
  <c r="D136" i="1"/>
  <c r="D22" i="1" s="1"/>
  <c r="F136" i="1"/>
  <c r="F22" i="1" s="1"/>
  <c r="G136" i="1"/>
  <c r="B169" i="1"/>
  <c r="B18" i="1" s="1"/>
  <c r="C169" i="1"/>
  <c r="C18" i="1" s="1"/>
  <c r="D169" i="1"/>
  <c r="D18" i="1" s="1"/>
  <c r="F169" i="1"/>
  <c r="F18" i="1" s="1"/>
  <c r="G169" i="1"/>
  <c r="F12" i="6"/>
  <c r="G12" i="6"/>
  <c r="CY12" i="6"/>
  <c r="BZ106" i="1" l="1"/>
  <c r="AI106" i="1"/>
  <c r="AI101" i="1" s="1"/>
  <c r="DG10" i="3"/>
  <c r="DJ10" i="3" s="1"/>
  <c r="CC33" i="1"/>
  <c r="CC26" i="1" s="1"/>
  <c r="CB33" i="1"/>
  <c r="CB26" i="1" s="1"/>
  <c r="BZ33" i="1"/>
  <c r="BZ26" i="1" s="1"/>
  <c r="BY33" i="1"/>
  <c r="BY26" i="1" s="1"/>
  <c r="AI33" i="1"/>
  <c r="AI26" i="1" s="1"/>
  <c r="AT69" i="1"/>
  <c r="AT65" i="1" s="1"/>
  <c r="CC65" i="1"/>
  <c r="CJ106" i="1"/>
  <c r="CJ101" i="1" s="1"/>
  <c r="CT29" i="1"/>
  <c r="S29" i="1" s="1"/>
  <c r="J44" i="7" s="1"/>
  <c r="Q42" i="7"/>
  <c r="S42" i="7"/>
  <c r="CL26" i="1"/>
  <c r="CV1" i="3"/>
  <c r="CS104" i="1"/>
  <c r="R103" i="1"/>
  <c r="GK103" i="1" s="1"/>
  <c r="V82" i="7"/>
  <c r="CU8" i="3"/>
  <c r="C83" i="7"/>
  <c r="E19" i="8"/>
  <c r="E82" i="7"/>
  <c r="T31" i="1"/>
  <c r="AG33" i="1" s="1"/>
  <c r="CS29" i="1"/>
  <c r="U42" i="7"/>
  <c r="DH10" i="3"/>
  <c r="BB106" i="1"/>
  <c r="CQ104" i="1"/>
  <c r="P104" i="1" s="1"/>
  <c r="U59" i="7"/>
  <c r="CS28" i="1"/>
  <c r="AS106" i="1"/>
  <c r="CK65" i="1"/>
  <c r="P31" i="1"/>
  <c r="W29" i="1"/>
  <c r="AD106" i="1"/>
  <c r="AD101" i="1" s="1"/>
  <c r="CT30" i="1"/>
  <c r="S30" i="1" s="1"/>
  <c r="CP30" i="1" s="1"/>
  <c r="O30" i="1" s="1"/>
  <c r="S52" i="7"/>
  <c r="Q52" i="7"/>
  <c r="G18" i="1"/>
  <c r="A108" i="7"/>
  <c r="AO106" i="1"/>
  <c r="G26" i="1"/>
  <c r="AF66" i="7"/>
  <c r="A66" i="7"/>
  <c r="CW4" i="3"/>
  <c r="E42" i="7"/>
  <c r="C43" i="7"/>
  <c r="E13" i="8"/>
  <c r="W28" i="1"/>
  <c r="AJ33" i="1" s="1"/>
  <c r="AH106" i="1"/>
  <c r="AH101" i="1" s="1"/>
  <c r="CC106" i="1"/>
  <c r="CC101" i="1" s="1"/>
  <c r="T103" i="1"/>
  <c r="AG106" i="1" s="1"/>
  <c r="CU7" i="3"/>
  <c r="E70" i="7"/>
  <c r="E17" i="8"/>
  <c r="C71" i="7"/>
  <c r="S82" i="7"/>
  <c r="Q82" i="7"/>
  <c r="R30" i="1"/>
  <c r="GK30" i="1" s="1"/>
  <c r="V52" i="7"/>
  <c r="U28" i="1"/>
  <c r="K40" i="7" s="1"/>
  <c r="CT104" i="1"/>
  <c r="S104" i="1" s="1"/>
  <c r="CY104" i="1" s="1"/>
  <c r="X104" i="1" s="1"/>
  <c r="S89" i="7"/>
  <c r="Q89" i="7"/>
  <c r="U82" i="7"/>
  <c r="CS31" i="1"/>
  <c r="E59" i="7"/>
  <c r="C60" i="7"/>
  <c r="E15" i="8"/>
  <c r="CX5" i="3"/>
  <c r="DF5" i="3" s="1"/>
  <c r="E52" i="7"/>
  <c r="E14" i="8"/>
  <c r="C53" i="7"/>
  <c r="GX28" i="1"/>
  <c r="CJ33" i="1" s="1"/>
  <c r="CJ26" i="1" s="1"/>
  <c r="G65" i="1"/>
  <c r="AF78" i="7"/>
  <c r="A78" i="7"/>
  <c r="Q31" i="1"/>
  <c r="J61" i="7" s="1"/>
  <c r="CT28" i="1"/>
  <c r="S28" i="1" s="1"/>
  <c r="J37" i="7" s="1"/>
  <c r="S35" i="7"/>
  <c r="Q35" i="7"/>
  <c r="CV5" i="3"/>
  <c r="CT67" i="1"/>
  <c r="S67" i="1" s="1"/>
  <c r="J72" i="7" s="1"/>
  <c r="S70" i="7"/>
  <c r="Q70" i="7"/>
  <c r="S59" i="7"/>
  <c r="Q59" i="7"/>
  <c r="E12" i="8"/>
  <c r="C36" i="7"/>
  <c r="E35" i="7"/>
  <c r="G22" i="1"/>
  <c r="G101" i="1"/>
  <c r="AF99" i="7"/>
  <c r="A99" i="7"/>
  <c r="AJ106" i="1"/>
  <c r="W106" i="1" s="1"/>
  <c r="AB28" i="1"/>
  <c r="U35" i="7"/>
  <c r="CU1" i="3"/>
  <c r="BC22" i="1"/>
  <c r="F152" i="1"/>
  <c r="BC169" i="1"/>
  <c r="BD106" i="1"/>
  <c r="CV7" i="3"/>
  <c r="CW6" i="3"/>
  <c r="CX6" i="3"/>
  <c r="BZ65" i="1"/>
  <c r="CI69" i="1"/>
  <c r="V69" i="1"/>
  <c r="AI65" i="1"/>
  <c r="CX7" i="3"/>
  <c r="F37" i="1"/>
  <c r="AO26" i="1"/>
  <c r="AB30" i="1"/>
  <c r="AQ106" i="1"/>
  <c r="BZ101" i="1"/>
  <c r="F94" i="1"/>
  <c r="BD65" i="1"/>
  <c r="F122" i="1"/>
  <c r="AP106" i="1"/>
  <c r="BC101" i="1"/>
  <c r="F85" i="1"/>
  <c r="BC65" i="1"/>
  <c r="W67" i="1"/>
  <c r="AJ69" i="1" s="1"/>
  <c r="BC26" i="1"/>
  <c r="F49" i="1"/>
  <c r="CI106" i="1"/>
  <c r="BB65" i="1"/>
  <c r="F82" i="1"/>
  <c r="AQ69" i="1"/>
  <c r="CS67" i="1"/>
  <c r="AB103" i="1"/>
  <c r="CQ103" i="1"/>
  <c r="P103" i="1" s="1"/>
  <c r="CJ65" i="1"/>
  <c r="BA69" i="1"/>
  <c r="T67" i="1"/>
  <c r="AG69" i="1" s="1"/>
  <c r="AB67" i="1"/>
  <c r="CY31" i="1"/>
  <c r="X31" i="1" s="1"/>
  <c r="R59" i="7" s="1"/>
  <c r="CZ31" i="1"/>
  <c r="Y31" i="1" s="1"/>
  <c r="T59" i="7" s="1"/>
  <c r="CZ29" i="1"/>
  <c r="Y29" i="1" s="1"/>
  <c r="T42" i="7" s="1"/>
  <c r="J48" i="7" s="1"/>
  <c r="CG106" i="1"/>
  <c r="CY103" i="1"/>
  <c r="X103" i="1" s="1"/>
  <c r="R82" i="7" s="1"/>
  <c r="J85" i="7" s="1"/>
  <c r="CZ103" i="1"/>
  <c r="Y103" i="1" s="1"/>
  <c r="Q67" i="1"/>
  <c r="AD69" i="1" s="1"/>
  <c r="U67" i="1"/>
  <c r="DF8" i="3"/>
  <c r="DG8" i="3"/>
  <c r="DI8" i="3"/>
  <c r="DJ8" i="3" s="1"/>
  <c r="BX65" i="1"/>
  <c r="BD33" i="1"/>
  <c r="AB31" i="1"/>
  <c r="CQ29" i="1"/>
  <c r="P29" i="1" s="1"/>
  <c r="CP29" i="1" s="1"/>
  <c r="O29" i="1" s="1"/>
  <c r="AB29" i="1"/>
  <c r="DF10" i="3"/>
  <c r="AS69" i="1"/>
  <c r="CM65" i="1"/>
  <c r="BX26" i="1"/>
  <c r="CU5" i="3"/>
  <c r="CX1" i="3"/>
  <c r="CL65" i="1"/>
  <c r="BB33" i="1"/>
  <c r="CX2" i="3"/>
  <c r="CG69" i="1"/>
  <c r="AP69" i="1"/>
  <c r="CQ67" i="1"/>
  <c r="P67" i="1" s="1"/>
  <c r="CX9" i="3"/>
  <c r="CV8" i="3"/>
  <c r="CX3" i="3"/>
  <c r="CU2" i="3"/>
  <c r="CW3" i="3"/>
  <c r="CX4" i="3"/>
  <c r="AF106" i="1" l="1"/>
  <c r="AF101" i="1" s="1"/>
  <c r="F87" i="1"/>
  <c r="AJ101" i="1"/>
  <c r="CG33" i="1"/>
  <c r="AX33" i="1" s="1"/>
  <c r="AS33" i="1"/>
  <c r="AS26" i="1" s="1"/>
  <c r="AQ33" i="1"/>
  <c r="AQ136" i="1" s="1"/>
  <c r="V106" i="1"/>
  <c r="V101" i="1" s="1"/>
  <c r="Q106" i="1"/>
  <c r="F118" i="1" s="1"/>
  <c r="CP104" i="1"/>
  <c r="O104" i="1" s="1"/>
  <c r="BA106" i="1"/>
  <c r="F126" i="1" s="1"/>
  <c r="F129" i="1"/>
  <c r="AT33" i="1"/>
  <c r="AT26" i="1" s="1"/>
  <c r="DG5" i="3"/>
  <c r="AP33" i="1"/>
  <c r="F42" i="1" s="1"/>
  <c r="CI33" i="1"/>
  <c r="CI26" i="1" s="1"/>
  <c r="CY29" i="1"/>
  <c r="X29" i="1" s="1"/>
  <c r="R42" i="7" s="1"/>
  <c r="J47" i="7" s="1"/>
  <c r="AH33" i="1"/>
  <c r="AH26" i="1" s="1"/>
  <c r="BA33" i="1"/>
  <c r="F53" i="1" s="1"/>
  <c r="AT106" i="1"/>
  <c r="AT101" i="1" s="1"/>
  <c r="CP31" i="1"/>
  <c r="O31" i="1" s="1"/>
  <c r="V33" i="1"/>
  <c r="V26" i="1" s="1"/>
  <c r="AF33" i="1"/>
  <c r="S33" i="1" s="1"/>
  <c r="AG26" i="1"/>
  <c r="T33" i="1"/>
  <c r="F54" i="1" s="1"/>
  <c r="DI5" i="3"/>
  <c r="DJ5" i="3" s="1"/>
  <c r="AD33" i="1"/>
  <c r="AD26" i="1" s="1"/>
  <c r="DH5" i="3"/>
  <c r="R104" i="1"/>
  <c r="V89" i="7"/>
  <c r="J95" i="7" s="1"/>
  <c r="R29" i="1"/>
  <c r="V42" i="7"/>
  <c r="J49" i="7" s="1"/>
  <c r="AS101" i="1"/>
  <c r="F123" i="1"/>
  <c r="CZ30" i="1"/>
  <c r="Y30" i="1" s="1"/>
  <c r="T52" i="7" s="1"/>
  <c r="J56" i="7" s="1"/>
  <c r="J54" i="7"/>
  <c r="CY30" i="1"/>
  <c r="X30" i="1" s="1"/>
  <c r="R52" i="7" s="1"/>
  <c r="J55" i="7" s="1"/>
  <c r="T82" i="7"/>
  <c r="J86" i="7" s="1"/>
  <c r="I88" i="7" s="1"/>
  <c r="CP28" i="1"/>
  <c r="O28" i="1" s="1"/>
  <c r="CZ104" i="1"/>
  <c r="Y104" i="1" s="1"/>
  <c r="T89" i="7" s="1"/>
  <c r="J94" i="7" s="1"/>
  <c r="J90" i="7"/>
  <c r="AO101" i="1"/>
  <c r="AO136" i="1"/>
  <c r="F110" i="1"/>
  <c r="R67" i="1"/>
  <c r="AE69" i="1" s="1"/>
  <c r="V70" i="7"/>
  <c r="AG101" i="1"/>
  <c r="T106" i="1"/>
  <c r="R28" i="1"/>
  <c r="V35" i="7"/>
  <c r="AH69" i="1"/>
  <c r="U69" i="1" s="1"/>
  <c r="K75" i="7"/>
  <c r="BB101" i="1"/>
  <c r="F119" i="1"/>
  <c r="R31" i="1"/>
  <c r="V59" i="7"/>
  <c r="J63" i="7" s="1"/>
  <c r="I64" i="7" s="1"/>
  <c r="CZ28" i="1"/>
  <c r="Y28" i="1" s="1"/>
  <c r="T35" i="7" s="1"/>
  <c r="J39" i="7" s="1"/>
  <c r="CY28" i="1"/>
  <c r="X28" i="1" s="1"/>
  <c r="R35" i="7" s="1"/>
  <c r="J38" i="7" s="1"/>
  <c r="U106" i="1"/>
  <c r="U101" i="1" s="1"/>
  <c r="R89" i="7"/>
  <c r="J93" i="7" s="1"/>
  <c r="F78" i="1"/>
  <c r="AP65" i="1"/>
  <c r="DF2" i="3"/>
  <c r="DH2" i="3"/>
  <c r="DI2" i="3"/>
  <c r="DJ2" i="3" s="1"/>
  <c r="DG2" i="3"/>
  <c r="AS65" i="1"/>
  <c r="F86" i="1"/>
  <c r="AD65" i="1"/>
  <c r="Q69" i="1"/>
  <c r="BA65" i="1"/>
  <c r="F89" i="1"/>
  <c r="W33" i="1"/>
  <c r="AJ26" i="1"/>
  <c r="BC18" i="1"/>
  <c r="F185" i="1"/>
  <c r="DF3" i="3"/>
  <c r="DG3" i="3"/>
  <c r="DJ3" i="3" s="1"/>
  <c r="DH3" i="3"/>
  <c r="DI3" i="3"/>
  <c r="BB26" i="1"/>
  <c r="F46" i="1"/>
  <c r="BB136" i="1"/>
  <c r="AC33" i="1"/>
  <c r="CP103" i="1"/>
  <c r="O103" i="1" s="1"/>
  <c r="AC106" i="1"/>
  <c r="CI101" i="1"/>
  <c r="AZ106" i="1"/>
  <c r="AJ65" i="1"/>
  <c r="W69" i="1"/>
  <c r="AQ101" i="1"/>
  <c r="F116" i="1"/>
  <c r="V65" i="1"/>
  <c r="F92" i="1"/>
  <c r="CY67" i="1"/>
  <c r="X67" i="1" s="1"/>
  <c r="AF69" i="1"/>
  <c r="CZ67" i="1"/>
  <c r="Y67" i="1" s="1"/>
  <c r="CI65" i="1"/>
  <c r="AZ69" i="1"/>
  <c r="BD101" i="1"/>
  <c r="F131" i="1"/>
  <c r="DF9" i="3"/>
  <c r="DG9" i="3"/>
  <c r="DH9" i="3"/>
  <c r="DI9" i="3"/>
  <c r="DJ9" i="3" s="1"/>
  <c r="AK106" i="1"/>
  <c r="DG1" i="3"/>
  <c r="DH1" i="3"/>
  <c r="DI1" i="3"/>
  <c r="DJ1" i="3" s="1"/>
  <c r="DF1" i="3"/>
  <c r="DG4" i="3"/>
  <c r="DJ4" i="3" s="1"/>
  <c r="DH4" i="3"/>
  <c r="DI4" i="3"/>
  <c r="DF4" i="3"/>
  <c r="AC69" i="1"/>
  <c r="CP67" i="1"/>
  <c r="O67" i="1" s="1"/>
  <c r="BD26" i="1"/>
  <c r="F58" i="1"/>
  <c r="BD136" i="1"/>
  <c r="CG101" i="1"/>
  <c r="AX106" i="1"/>
  <c r="W101" i="1"/>
  <c r="F130" i="1"/>
  <c r="DG6" i="3"/>
  <c r="DJ6" i="3" s="1"/>
  <c r="DH6" i="3"/>
  <c r="DI6" i="3"/>
  <c r="DF6" i="3"/>
  <c r="CG65" i="1"/>
  <c r="AX69" i="1"/>
  <c r="T69" i="1"/>
  <c r="AG65" i="1"/>
  <c r="F79" i="1"/>
  <c r="AQ65" i="1"/>
  <c r="AP101" i="1"/>
  <c r="F115" i="1"/>
  <c r="DF7" i="3"/>
  <c r="DH7" i="3"/>
  <c r="DI7" i="3"/>
  <c r="DJ7" i="3" s="1"/>
  <c r="DG7" i="3"/>
  <c r="AS136" i="1" l="1"/>
  <c r="F153" i="1" s="1"/>
  <c r="E16" i="2" s="1"/>
  <c r="F50" i="1"/>
  <c r="F43" i="1"/>
  <c r="S106" i="1"/>
  <c r="F121" i="1" s="1"/>
  <c r="BA101" i="1"/>
  <c r="GK67" i="1"/>
  <c r="GM67" i="1" s="1"/>
  <c r="CG26" i="1"/>
  <c r="BA136" i="1"/>
  <c r="F156" i="1" s="1"/>
  <c r="AZ33" i="1"/>
  <c r="F44" i="1" s="1"/>
  <c r="I41" i="7"/>
  <c r="P41" i="7" s="1"/>
  <c r="AQ26" i="1"/>
  <c r="AP26" i="1"/>
  <c r="AP136" i="1"/>
  <c r="F145" i="1" s="1"/>
  <c r="G16" i="2" s="1"/>
  <c r="I97" i="7"/>
  <c r="P97" i="7" s="1"/>
  <c r="Q101" i="1"/>
  <c r="F51" i="1"/>
  <c r="AB33" i="1"/>
  <c r="O33" i="1" s="1"/>
  <c r="AT136" i="1"/>
  <c r="AT169" i="1" s="1"/>
  <c r="U33" i="1"/>
  <c r="U26" i="1" s="1"/>
  <c r="V136" i="1"/>
  <c r="V22" i="1" s="1"/>
  <c r="F56" i="1"/>
  <c r="GM30" i="1"/>
  <c r="GP30" i="1" s="1"/>
  <c r="T26" i="1"/>
  <c r="BA26" i="1"/>
  <c r="AK33" i="1"/>
  <c r="AK26" i="1" s="1"/>
  <c r="I51" i="7"/>
  <c r="P51" i="7" s="1"/>
  <c r="T136" i="1"/>
  <c r="T169" i="1" s="1"/>
  <c r="AF26" i="1"/>
  <c r="F128" i="1"/>
  <c r="F124" i="1"/>
  <c r="AL33" i="1"/>
  <c r="AL26" i="1" s="1"/>
  <c r="Q33" i="1"/>
  <c r="Q26" i="1" s="1"/>
  <c r="P64" i="7"/>
  <c r="K64" i="7"/>
  <c r="AE33" i="1"/>
  <c r="GK28" i="1"/>
  <c r="GM28" i="1" s="1"/>
  <c r="P88" i="7"/>
  <c r="K88" i="7"/>
  <c r="T101" i="1"/>
  <c r="F127" i="1"/>
  <c r="AL106" i="1"/>
  <c r="GK104" i="1"/>
  <c r="GM104" i="1" s="1"/>
  <c r="GP104" i="1" s="1"/>
  <c r="J92" i="7"/>
  <c r="AE106" i="1"/>
  <c r="I58" i="7"/>
  <c r="AK69" i="1"/>
  <c r="AK65" i="1" s="1"/>
  <c r="R70" i="7"/>
  <c r="J73" i="7" s="1"/>
  <c r="AH65" i="1"/>
  <c r="GK29" i="1"/>
  <c r="GM29" i="1" s="1"/>
  <c r="GP29" i="1" s="1"/>
  <c r="J46" i="7"/>
  <c r="AL69" i="1"/>
  <c r="AL65" i="1" s="1"/>
  <c r="T70" i="7"/>
  <c r="J74" i="7" s="1"/>
  <c r="J62" i="7"/>
  <c r="GK31" i="1"/>
  <c r="GM31" i="1" s="1"/>
  <c r="GP31" i="1" s="1"/>
  <c r="AO22" i="1"/>
  <c r="F140" i="1"/>
  <c r="AO169" i="1"/>
  <c r="F93" i="1"/>
  <c r="W65" i="1"/>
  <c r="F90" i="1"/>
  <c r="T65" i="1"/>
  <c r="AK101" i="1"/>
  <c r="X106" i="1"/>
  <c r="AB69" i="1"/>
  <c r="S69" i="1"/>
  <c r="AF65" i="1"/>
  <c r="AZ101" i="1"/>
  <c r="F117" i="1"/>
  <c r="S26" i="1"/>
  <c r="F48" i="1"/>
  <c r="U65" i="1"/>
  <c r="F91" i="1"/>
  <c r="AX101" i="1"/>
  <c r="F113" i="1"/>
  <c r="AC65" i="1"/>
  <c r="CE69" i="1"/>
  <c r="CF69" i="1"/>
  <c r="P69" i="1"/>
  <c r="CH69" i="1"/>
  <c r="F80" i="1"/>
  <c r="AZ65" i="1"/>
  <c r="Q65" i="1"/>
  <c r="F81" i="1"/>
  <c r="AQ22" i="1"/>
  <c r="F146" i="1"/>
  <c r="AQ169" i="1"/>
  <c r="AX65" i="1"/>
  <c r="F76" i="1"/>
  <c r="AC101" i="1"/>
  <c r="CH106" i="1"/>
  <c r="P106" i="1"/>
  <c r="CE106" i="1"/>
  <c r="CF106" i="1"/>
  <c r="AE65" i="1"/>
  <c r="R69" i="1"/>
  <c r="GM103" i="1"/>
  <c r="AB106" i="1"/>
  <c r="W26" i="1"/>
  <c r="F57" i="1"/>
  <c r="W136" i="1"/>
  <c r="CF33" i="1"/>
  <c r="CH33" i="1"/>
  <c r="P33" i="1"/>
  <c r="AC26" i="1"/>
  <c r="CE33" i="1"/>
  <c r="F40" i="1"/>
  <c r="AX26" i="1"/>
  <c r="AX136" i="1"/>
  <c r="BD22" i="1"/>
  <c r="BD169" i="1"/>
  <c r="F161" i="1"/>
  <c r="BB22" i="1"/>
  <c r="F149" i="1"/>
  <c r="BB169" i="1"/>
  <c r="K51" i="7" l="1"/>
  <c r="AS22" i="1"/>
  <c r="AS169" i="1"/>
  <c r="AS18" i="1" s="1"/>
  <c r="K41" i="7"/>
  <c r="AZ26" i="1"/>
  <c r="AZ136" i="1"/>
  <c r="F147" i="1" s="1"/>
  <c r="S101" i="1"/>
  <c r="S136" i="1"/>
  <c r="S169" i="1" s="1"/>
  <c r="BA22" i="1"/>
  <c r="BA169" i="1"/>
  <c r="F189" i="1" s="1"/>
  <c r="AP169" i="1"/>
  <c r="AP18" i="1" s="1"/>
  <c r="AP22" i="1"/>
  <c r="F154" i="1"/>
  <c r="F16" i="2" s="1"/>
  <c r="F55" i="1"/>
  <c r="AT22" i="1"/>
  <c r="F159" i="1"/>
  <c r="U136" i="1"/>
  <c r="U22" i="1" s="1"/>
  <c r="AB26" i="1"/>
  <c r="V169" i="1"/>
  <c r="V18" i="1" s="1"/>
  <c r="K97" i="7"/>
  <c r="F157" i="1"/>
  <c r="T22" i="1"/>
  <c r="X33" i="1"/>
  <c r="X26" i="1" s="1"/>
  <c r="F45" i="1"/>
  <c r="Q136" i="1"/>
  <c r="Q169" i="1" s="1"/>
  <c r="Y33" i="1"/>
  <c r="F60" i="1" s="1"/>
  <c r="GP28" i="1"/>
  <c r="CD33" i="1" s="1"/>
  <c r="CD26" i="1" s="1"/>
  <c r="CA33" i="1"/>
  <c r="CA26" i="1" s="1"/>
  <c r="AE26" i="1"/>
  <c r="R33" i="1"/>
  <c r="R106" i="1"/>
  <c r="AE101" i="1"/>
  <c r="X69" i="1"/>
  <c r="F95" i="1" s="1"/>
  <c r="AO18" i="1"/>
  <c r="F173" i="1"/>
  <c r="AL101" i="1"/>
  <c r="Y106" i="1"/>
  <c r="I76" i="7"/>
  <c r="Y69" i="1"/>
  <c r="P58" i="7"/>
  <c r="I66" i="7" s="1"/>
  <c r="K58" i="7"/>
  <c r="I99" i="7"/>
  <c r="P101" i="1"/>
  <c r="F109" i="1"/>
  <c r="AW69" i="1"/>
  <c r="CF65" i="1"/>
  <c r="BD18" i="1"/>
  <c r="F194" i="1"/>
  <c r="CE26" i="1"/>
  <c r="AV33" i="1"/>
  <c r="W22" i="1"/>
  <c r="F160" i="1"/>
  <c r="W169" i="1"/>
  <c r="R65" i="1"/>
  <c r="F83" i="1"/>
  <c r="CE101" i="1"/>
  <c r="AV106" i="1"/>
  <c r="P65" i="1"/>
  <c r="F72" i="1"/>
  <c r="S22" i="1"/>
  <c r="S65" i="1"/>
  <c r="F84" i="1"/>
  <c r="X101" i="1"/>
  <c r="F132" i="1"/>
  <c r="AB65" i="1"/>
  <c r="O69" i="1"/>
  <c r="BB18" i="1"/>
  <c r="F182" i="1"/>
  <c r="F36" i="1"/>
  <c r="P26" i="1"/>
  <c r="P136" i="1"/>
  <c r="AY106" i="1"/>
  <c r="CH101" i="1"/>
  <c r="AV69" i="1"/>
  <c r="CE65" i="1"/>
  <c r="GP67" i="1"/>
  <c r="CD69" i="1" s="1"/>
  <c r="CA69" i="1"/>
  <c r="F35" i="1"/>
  <c r="O26" i="1"/>
  <c r="CH26" i="1"/>
  <c r="AY33" i="1"/>
  <c r="AB101" i="1"/>
  <c r="O106" i="1"/>
  <c r="AQ18" i="1"/>
  <c r="F179" i="1"/>
  <c r="F96" i="1"/>
  <c r="Y65" i="1"/>
  <c r="AW33" i="1"/>
  <c r="CF26" i="1"/>
  <c r="CA106" i="1"/>
  <c r="GP103" i="1"/>
  <c r="CD106" i="1" s="1"/>
  <c r="AX22" i="1"/>
  <c r="F143" i="1"/>
  <c r="AX169" i="1"/>
  <c r="AT18" i="1"/>
  <c r="F187" i="1"/>
  <c r="I22" i="7" s="1"/>
  <c r="T18" i="1"/>
  <c r="F190" i="1"/>
  <c r="CF101" i="1"/>
  <c r="AW106" i="1"/>
  <c r="CH65" i="1"/>
  <c r="AY69" i="1"/>
  <c r="F186" i="1" l="1"/>
  <c r="I21" i="7" s="1"/>
  <c r="F151" i="1"/>
  <c r="BA18" i="1"/>
  <c r="AZ22" i="1"/>
  <c r="AZ169" i="1"/>
  <c r="AZ18" i="1" s="1"/>
  <c r="F178" i="1"/>
  <c r="I23" i="7" s="1"/>
  <c r="F192" i="1"/>
  <c r="F158" i="1"/>
  <c r="U169" i="1"/>
  <c r="F191" i="1" s="1"/>
  <c r="F59" i="1"/>
  <c r="AR33" i="1"/>
  <c r="F61" i="1" s="1"/>
  <c r="F148" i="1"/>
  <c r="Q22" i="1"/>
  <c r="AU33" i="1"/>
  <c r="AU26" i="1" s="1"/>
  <c r="Y26" i="1"/>
  <c r="P76" i="7"/>
  <c r="I78" i="7" s="1"/>
  <c r="K76" i="7"/>
  <c r="Y101" i="1"/>
  <c r="F133" i="1"/>
  <c r="X136" i="1"/>
  <c r="X22" i="1" s="1"/>
  <c r="F120" i="1"/>
  <c r="R101" i="1"/>
  <c r="R26" i="1"/>
  <c r="R136" i="1"/>
  <c r="F47" i="1"/>
  <c r="X65" i="1"/>
  <c r="Y136" i="1"/>
  <c r="Y22" i="1" s="1"/>
  <c r="I102" i="7"/>
  <c r="F77" i="1"/>
  <c r="AY65" i="1"/>
  <c r="S18" i="1"/>
  <c r="F184" i="1"/>
  <c r="CD101" i="1"/>
  <c r="AU106" i="1"/>
  <c r="O65" i="1"/>
  <c r="F71" i="1"/>
  <c r="AR106" i="1"/>
  <c r="CA101" i="1"/>
  <c r="W18" i="1"/>
  <c r="F193" i="1"/>
  <c r="AV65" i="1"/>
  <c r="F74" i="1"/>
  <c r="AW101" i="1"/>
  <c r="F112" i="1"/>
  <c r="AX18" i="1"/>
  <c r="F176" i="1"/>
  <c r="O136" i="1"/>
  <c r="AY101" i="1"/>
  <c r="F114" i="1"/>
  <c r="AY26" i="1"/>
  <c r="F41" i="1"/>
  <c r="AY136" i="1"/>
  <c r="AW26" i="1"/>
  <c r="AW136" i="1"/>
  <c r="F39" i="1"/>
  <c r="P22" i="1"/>
  <c r="P169" i="1"/>
  <c r="F139" i="1"/>
  <c r="AV26" i="1"/>
  <c r="F38" i="1"/>
  <c r="AV136" i="1"/>
  <c r="F75" i="1"/>
  <c r="AW65" i="1"/>
  <c r="Q18" i="1"/>
  <c r="F181" i="1"/>
  <c r="CA65" i="1"/>
  <c r="AR69" i="1"/>
  <c r="AV101" i="1"/>
  <c r="F111" i="1"/>
  <c r="O101" i="1"/>
  <c r="F108" i="1"/>
  <c r="AU69" i="1"/>
  <c r="CD65" i="1"/>
  <c r="F180" i="1" l="1"/>
  <c r="U18" i="1"/>
  <c r="F52" i="1"/>
  <c r="AR26" i="1"/>
  <c r="F163" i="1"/>
  <c r="Y169" i="1"/>
  <c r="F196" i="1" s="1"/>
  <c r="X169" i="1"/>
  <c r="X18" i="1" s="1"/>
  <c r="F162" i="1"/>
  <c r="I108" i="7"/>
  <c r="R22" i="1"/>
  <c r="R169" i="1"/>
  <c r="F150" i="1"/>
  <c r="J16" i="2" s="1"/>
  <c r="AY22" i="1"/>
  <c r="AY169" i="1"/>
  <c r="F144" i="1"/>
  <c r="O22" i="1"/>
  <c r="F138" i="1"/>
  <c r="O169" i="1"/>
  <c r="AR65" i="1"/>
  <c r="F97" i="1"/>
  <c r="AV22" i="1"/>
  <c r="F141" i="1"/>
  <c r="AV169" i="1"/>
  <c r="F195" i="1"/>
  <c r="AU65" i="1"/>
  <c r="F88" i="1"/>
  <c r="AR101" i="1"/>
  <c r="F134" i="1"/>
  <c r="AU136" i="1"/>
  <c r="AR136" i="1"/>
  <c r="F172" i="1"/>
  <c r="P18" i="1"/>
  <c r="AW169" i="1"/>
  <c r="AW22" i="1"/>
  <c r="F142" i="1"/>
  <c r="F125" i="1"/>
  <c r="AU101" i="1"/>
  <c r="Y18" i="1" l="1"/>
  <c r="F183" i="1"/>
  <c r="I25" i="7" s="1"/>
  <c r="R18" i="1"/>
  <c r="O18" i="1"/>
  <c r="F171" i="1"/>
  <c r="AW18" i="1"/>
  <c r="F175" i="1"/>
  <c r="AR22" i="1"/>
  <c r="AR169" i="1"/>
  <c r="F164" i="1"/>
  <c r="F165" i="1" s="1"/>
  <c r="I104" i="7" s="1"/>
  <c r="AY18" i="1"/>
  <c r="F177" i="1"/>
  <c r="AU22" i="1"/>
  <c r="AU169" i="1"/>
  <c r="F155" i="1"/>
  <c r="H16" i="2" s="1"/>
  <c r="I16" i="2" s="1"/>
  <c r="F174" i="1"/>
  <c r="AV18" i="1"/>
  <c r="AR18" i="1" l="1"/>
  <c r="F197" i="1"/>
  <c r="F198" i="1" s="1"/>
  <c r="AU18" i="1"/>
  <c r="F188" i="1"/>
  <c r="I24" i="7" s="1"/>
  <c r="I20" i="7" s="1"/>
  <c r="F166" i="1"/>
  <c r="F167" i="1" l="1"/>
  <c r="I106" i="7" s="1"/>
  <c r="I105" i="7"/>
  <c r="F199" i="1"/>
  <c r="I110" i="7" s="1"/>
  <c r="I109" i="7"/>
</calcChain>
</file>

<file path=xl/sharedStrings.xml><?xml version="1.0" encoding="utf-8"?>
<sst xmlns="http://schemas.openxmlformats.org/spreadsheetml/2006/main" count="1334" uniqueCount="182">
  <si>
    <t>Smeta.RU Flash  (495) 974-1589</t>
  </si>
  <si>
    <t>_PS_</t>
  </si>
  <si>
    <t>Smeta.RU Flash</t>
  </si>
  <si>
    <t/>
  </si>
  <si>
    <t>Новый объект</t>
  </si>
  <si>
    <t>Оказание услуг по очистке кровли</t>
  </si>
  <si>
    <t>Сметные нормы списания</t>
  </si>
  <si>
    <t>Коды ОКП для СН-2012 Выпуск № 4 (в ценах на 01.07.2025 г)</t>
  </si>
  <si>
    <t>СН-2012 Выпуск № 4. (в ценах на 01.07.2025) глава_1-5, 7</t>
  </si>
  <si>
    <t>Типовой расчет для СН-2012 Выпуск №4 (в ценах на 01.07.2025 г)</t>
  </si>
  <si>
    <t>СН-2012 Выпуск № 4. База данных "Сборник стоимостных нормативов" в текущих ценах по состоянию на 01.07.2025 года</t>
  </si>
  <si>
    <t>Поправки для СН-2012 Выпуск № 4 в ценах на 01.07.2025 г от 01.07.2025</t>
  </si>
  <si>
    <t>1</t>
  </si>
  <si>
    <t>1.7-1102-1-1/1</t>
  </si>
  <si>
    <t>Очистка снега с крыш при толщине слоя до 10 см</t>
  </si>
  <si>
    <t>100 м2</t>
  </si>
  <si>
    <t>СН-2012.1 Выпуск № 4 (в текущих ценах по состоянию на 01.07.2025 г.). 1.7-1102-1-1/1</t>
  </si>
  <si>
    <t>)*5</t>
  </si>
  <si>
    <t>СН-2012</t>
  </si>
  <si>
    <t>Подрядные работы, гл. 1-5,7</t>
  </si>
  <si>
    <t>работа</t>
  </si>
  <si>
    <t>2</t>
  </si>
  <si>
    <t>1.7-1102-5-1/1</t>
  </si>
  <si>
    <t>Очистка крыш от снега и наледи с использованием автовышек, при толщине слоя до 20 см</t>
  </si>
  <si>
    <t>СН-2012.1 Выпуск № 4 (в текущих ценах по состоянию на 01.07.2025 г.). 1.7-1102-5-1/1</t>
  </si>
  <si>
    <t>3</t>
  </si>
  <si>
    <t>5.3-1102-8-1/1</t>
  </si>
  <si>
    <t>Уборка свежевыпавшего снега вручную толщиной слоя до 10 см (20%)</t>
  </si>
  <si>
    <t>СН-2012.5 Выпуск № 4 (в текущих ценах по состоянию на 01.07.2025 г.). 5.3-1102-8-1/1</t>
  </si>
  <si>
    <t>4</t>
  </si>
  <si>
    <t>5.3-1102-12-1/1</t>
  </si>
  <si>
    <t>Уборка снега средствами малой механизации (80%)</t>
  </si>
  <si>
    <t>1000 м2</t>
  </si>
  <si>
    <t>СН-2012.5 Выпуск № 4 (в текущих ценах по состоянию на 01.07.2025 г.). 5.3-1102-12-1/1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</si>
  <si>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</si>
  <si>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</si>
  <si>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</si>
  <si>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</si>
  <si>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</si>
  <si>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</si>
  <si>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</si>
  <si>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</si>
  <si>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</si>
  <si>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</si>
  <si>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</si>
  <si>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</si>
  <si>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</si>
  <si>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</si>
  <si>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</si>
  <si>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</si>
  <si>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</si>
  <si>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</si>
  <si>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</si>
  <si>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</si>
  <si>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</si>
  <si>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</si>
  <si>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</si>
  <si>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</si>
  <si>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</si>
  <si>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</si>
  <si>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</si>
  <si>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</si>
  <si>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</si>
  <si>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</si>
  <si>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</si>
  <si>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</si>
  <si>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</si>
  <si>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</si>
  <si>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</si>
  <si>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</si>
  <si>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</si>
  <si>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</si>
  <si>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</si>
  <si>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</si>
  <si>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</si>
  <si>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</si>
  <si>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</si>
  <si>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</si>
  <si>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</si>
  <si>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</si>
  <si>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</si>
  <si>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</si>
  <si>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</si>
  <si>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</si>
  <si>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</si>
  <si>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</si>
  <si>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</si>
  <si>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</si>
  <si>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5</t>
  </si>
  <si>
    <t>1.7-1102-3-1/1</t>
  </si>
  <si>
    <t>Осмотр и прочистка отливов водосточных труб от наледи и мусора</t>
  </si>
  <si>
    <t>10 шт.</t>
  </si>
  <si>
    <t>СН-2012.1 Выпуск № 4 (в текущих ценах по состоянию на 01.07.2025 г.). 1.7-1102-3-1/1</t>
  </si>
  <si>
    <t>6</t>
  </si>
  <si>
    <t>1.7-1102-2-1/1</t>
  </si>
  <si>
    <t>Скол сосулек с крыш</t>
  </si>
  <si>
    <t>100 м</t>
  </si>
  <si>
    <t>СН-2012.1 Выпуск № 4 (в текущих ценах по состоянию на 01.07.2025 г.). 1.7-1102-2-1/1</t>
  </si>
  <si>
    <t>7</t>
  </si>
  <si>
    <t>5.3-1102-25-1/1</t>
  </si>
  <si>
    <t>Сбор и перемещение снега и скола к месту временного размещения механизированным способом, объем ковша погрузчика до 0,5 м3 - перемещение на 250 м</t>
  </si>
  <si>
    <t>м3</t>
  </si>
  <si>
    <t>СН-2012.5 Выпуск № 4 (в текущих ценах по состоянию на 01.07.2025 г.). 5.3-1102-25-1/1</t>
  </si>
  <si>
    <t>и1</t>
  </si>
  <si>
    <t>Итого</t>
  </si>
  <si>
    <t>и2</t>
  </si>
  <si>
    <t>НДС 20%</t>
  </si>
  <si>
    <t>и3</t>
  </si>
  <si>
    <t>НДС-20</t>
  </si>
  <si>
    <t>сНДС</t>
  </si>
  <si>
    <t>Итого с НДС</t>
  </si>
  <si>
    <t>Уровень цен</t>
  </si>
  <si>
    <t>_OBSM_</t>
  </si>
  <si>
    <t>9999990008</t>
  </si>
  <si>
    <t>Трудозатраты рабочих</t>
  </si>
  <si>
    <t>чел.-ч.</t>
  </si>
  <si>
    <t>22.1-18-24</t>
  </si>
  <si>
    <t>СН-2012.22 Выпуск № 4 (в текущих ценах по состоянию на 01.07.2025 г.). 22.1-18-24</t>
  </si>
  <si>
    <t>Автомобили полупассажирские типа ГАЗ, грузоподъемность до 2 т</t>
  </si>
  <si>
    <t>маш.-ч</t>
  </si>
  <si>
    <t>22.1-4-22</t>
  </si>
  <si>
    <t>СН-2012.22 Выпуск № 4 (в текущих ценах по состоянию на 01.07.2025 г.). 22.1-4-22</t>
  </si>
  <si>
    <t>Вышки телескопические на автомобиле, высота до 22 м, грузоподъемность 250-300 кг</t>
  </si>
  <si>
    <t>22.1-17-199</t>
  </si>
  <si>
    <t>СН-2012.22 Выпуск № 4 (в текущих ценах по состоянию на 01.07.2025 г.). 22.1-17-199</t>
  </si>
  <si>
    <t>Снегоочистители на базе мини-погрузчика грузоподъемностью до 1 т</t>
  </si>
  <si>
    <t>22.1-4-91</t>
  </si>
  <si>
    <t>СН-2012.22 Выпуск № 4 (в текущих ценах по состоянию на 01.07.2025 г.). 22.1-4-91</t>
  </si>
  <si>
    <t>Мини-погрузчики многофункциональные, грузоподъемность до 1 т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</si>
  <si>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</si>
  <si>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</si>
  <si>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</si>
  <si>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</si>
  <si>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</si>
  <si>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</si>
  <si>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</si>
  <si>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</si>
  <si>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</si>
  <si>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</si>
  <si>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</si>
  <si>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</si>
  <si>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</si>
  <si>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</si>
  <si>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</si>
  <si>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</si>
  <si>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</si>
  <si>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</si>
  <si>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</si>
  <si>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</si>
  <si>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</si>
  <si>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</si>
  <si>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</si>
  <si>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</si>
  <si>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</si>
  <si>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</si>
  <si>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июль 2025 года</t>
  </si>
  <si>
    <t>ЗП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</si>
  <si>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</si>
  <si>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</si>
  <si>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</si>
  <si>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</si>
  <si>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</si>
  <si>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</si>
  <si>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</si>
  <si>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НР и СП от ЗПМ</t>
  </si>
  <si>
    <t>№ п/п</t>
  </si>
  <si>
    <t>№ в ЛСР</t>
  </si>
  <si>
    <t>Количество</t>
  </si>
  <si>
    <t>Ссылка на чертежи, спецификации</t>
  </si>
  <si>
    <t>Формула расчета, расчет объемов работ и расхода материалов</t>
  </si>
  <si>
    <t>Примечание</t>
  </si>
  <si>
    <t>Главный инженер проекта _________________</t>
  </si>
  <si>
    <t>Составил _________________</t>
  </si>
  <si>
    <t>СМЕТА</t>
  </si>
  <si>
    <t>Очистка снега с крыш с уборкой сброшенного снега</t>
  </si>
  <si>
    <t>Скол сосулек с крыш и перемещение снега.</t>
  </si>
  <si>
    <t>Осмотр и прочистка отливов водосточных труб. Водостоки 308 шт.</t>
  </si>
  <si>
    <t>Оказание услуг по очистке кровли (17.11.2025-31.03.2026)</t>
  </si>
  <si>
    <t>)*8</t>
  </si>
  <si>
    <t>Оказание услуг по очистке кровли и карнизов от снега, наледи и сколу сосулек по периметру, а также уборке сброшенного снега с перемещением, со строений и сооружений Кинопарка</t>
  </si>
  <si>
    <t xml:space="preserve">Итого по локальной смете: Оказание услуг по очистке кровли </t>
  </si>
  <si>
    <t>Локальная смета: Оказание услуг по очистке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</si>
</sst>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7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164" fontId="9" fillId="0" borderId="0" xfId="0" applyNumberFormat="1" applyFont="1"/>
    <xf numFmtId="1" fontId="9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/>
    </xf>
    <xf numFmtId="0" fontId="7" fillId="0" borderId="0" xfId="0" applyFont="1" applyAlignment="1">
      <alignment vertical="top" wrapText="1"/>
    </xf>
    <xf numFmtId="165" fontId="0" fillId="0" borderId="0" xfId="0" applyNumberFormat="1"/>
    <xf numFmtId="0" fontId="0" fillId="0" borderId="6" xfId="0" applyBorder="1"/>
    <xf numFmtId="165" fontId="15" fillId="0" borderId="6" xfId="0" applyNumberFormat="1" applyFont="1" applyBorder="1" applyAlignment="1">
      <alignment horizontal="right"/>
    </xf>
    <xf numFmtId="165" fontId="14" fillId="0" borderId="0" xfId="0" applyNumberFormat="1" applyFont="1" applyAlignment="1">
      <alignment horizontal="right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165" fontId="9" fillId="0" borderId="0" xfId="0" applyNumberFormat="1" applyFont="1" applyAlignment="1">
      <alignment horizontal="right"/>
    </xf>
    <xf numFmtId="0" fontId="16" fillId="0" borderId="0" xfId="0" applyFont="1" applyAlignment="1">
      <alignment horizontal="right" vertical="center" wrapText="1"/>
    </xf>
    <xf numFmtId="165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165" fontId="15" fillId="0" borderId="6" xfId="0" applyNumberFormat="1" applyFont="1" applyBorder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0" fillId="0" borderId="0" xfId="0"/>
    <xf numFmtId="0" fontId="13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0" fillId="0" borderId="2" xfId="0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10"/>
  <sheetViews>
    <sheetView tabSelected="1" topLeftCell="A82" zoomScale="80" zoomScaleNormal="80" workbookViewId="0">
      <selection activeCell="L7" sqref="L7"/>
    </sheetView>
  </sheetViews>
  <sheetFormatPr defaultRowHeight="12.9" x14ac:dyDescent="0.25"/>
  <cols>
    <col min="1" max="1" width="5.7265625" customWidth="1"/>
    <col min="2" max="2" width="11.7265625" customWidth="1"/>
    <col min="3" max="3" width="40.7265625" customWidth="1"/>
    <col min="4" max="6" width="11.7265625" customWidth="1"/>
    <col min="7" max="9" width="12.7265625" customWidth="1"/>
    <col min="10" max="10" width="21" bestFit="1" customWidth="1"/>
    <col min="11" max="11" width="12.7265625" customWidth="1"/>
    <col min="15" max="30" width="0" hidden="1" customWidth="1"/>
    <col min="31" max="31" width="152.7265625" hidden="1" customWidth="1"/>
    <col min="32" max="32" width="116.7265625" hidden="1" customWidth="1"/>
    <col min="33" max="36" width="0" hidden="1" customWidth="1"/>
  </cols>
  <sheetData>
    <row r="1" spans="1:11" ht="18.8" customHeight="1" x14ac:dyDescent="0.25">
      <c r="A1" s="40" t="str">
        <f>CONCATENATE(Source!B1, "     СН-2012 (© ОАО МЦЦС 'Мосстройцены', ", "2025", ")")</f>
        <v>Smeta.RU Flash  (495) 974-1589     СН-2012 (© ОАО МЦЦС 'Мосстройцены', 2025)</v>
      </c>
      <c r="I1" s="43"/>
      <c r="J1" s="43"/>
      <c r="K1" s="43"/>
    </row>
    <row r="2" spans="1:11" ht="13.45" x14ac:dyDescent="0.25">
      <c r="A2" s="8"/>
      <c r="B2" s="8"/>
      <c r="C2" s="8"/>
      <c r="D2" s="8"/>
      <c r="E2" s="8"/>
      <c r="F2" s="8"/>
      <c r="G2" s="8"/>
      <c r="H2" s="8"/>
      <c r="I2" s="8"/>
      <c r="J2" s="52" t="s">
        <v>131</v>
      </c>
      <c r="K2" s="52"/>
    </row>
    <row r="3" spans="1:11" ht="16.7" x14ac:dyDescent="0.35">
      <c r="A3" s="10"/>
      <c r="B3" s="59" t="s">
        <v>129</v>
      </c>
      <c r="C3" s="59"/>
      <c r="D3" s="59"/>
      <c r="E3" s="59"/>
      <c r="F3" s="9"/>
      <c r="G3" s="59" t="s">
        <v>130</v>
      </c>
      <c r="H3" s="59"/>
      <c r="I3" s="59"/>
      <c r="J3" s="59"/>
      <c r="K3" s="59"/>
    </row>
    <row r="4" spans="1:11" ht="13.45" x14ac:dyDescent="0.25">
      <c r="A4" s="9"/>
      <c r="B4" s="51"/>
      <c r="C4" s="51"/>
      <c r="D4" s="51"/>
      <c r="E4" s="51"/>
      <c r="F4" s="9"/>
      <c r="G4" s="51"/>
      <c r="H4" s="51"/>
      <c r="I4" s="51"/>
      <c r="J4" s="51"/>
      <c r="K4" s="51"/>
    </row>
    <row r="5" spans="1:11" ht="13.45" x14ac:dyDescent="0.25">
      <c r="A5" s="9"/>
      <c r="B5" s="9"/>
      <c r="C5" s="11"/>
      <c r="D5" s="11"/>
      <c r="E5" s="11"/>
      <c r="F5" s="9"/>
      <c r="G5" s="11"/>
      <c r="H5" s="11"/>
      <c r="I5" s="11"/>
      <c r="J5" s="11"/>
      <c r="K5" s="11"/>
    </row>
    <row r="6" spans="1:11" ht="13.45" x14ac:dyDescent="0.25">
      <c r="A6" s="11"/>
      <c r="B6" s="51" t="str">
        <f>CONCATENATE("______________________ ", IF(Source!AL12&lt;&gt;"", Source!AL12, ""))</f>
        <v xml:space="preserve">______________________ </v>
      </c>
      <c r="C6" s="51"/>
      <c r="D6" s="51"/>
      <c r="E6" s="51"/>
      <c r="F6" s="9"/>
      <c r="G6" s="51" t="str">
        <f>CONCATENATE("______________________ ", IF(Source!AH12&lt;&gt;"", Source!AH12, ""))</f>
        <v xml:space="preserve">______________________ </v>
      </c>
      <c r="H6" s="51"/>
      <c r="I6" s="51"/>
      <c r="J6" s="51"/>
      <c r="K6" s="51"/>
    </row>
    <row r="7" spans="1:11" ht="13.45" x14ac:dyDescent="0.25">
      <c r="A7" s="12"/>
      <c r="B7" s="41" t="s">
        <v>132</v>
      </c>
      <c r="C7" s="41"/>
      <c r="D7" s="41"/>
      <c r="E7" s="41"/>
      <c r="F7" s="9"/>
      <c r="G7" s="41" t="s">
        <v>132</v>
      </c>
      <c r="H7" s="41"/>
      <c r="I7" s="41"/>
      <c r="J7" s="41"/>
      <c r="K7" s="41"/>
    </row>
    <row r="9" spans="1:11" ht="13.4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15.05" x14ac:dyDescent="0.3">
      <c r="A10" s="57" t="s">
        <v>173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</row>
    <row r="11" spans="1:11" x14ac:dyDescent="0.25">
      <c r="A11" s="54" t="s">
        <v>133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2" spans="1:11" ht="13.4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75" hidden="1" x14ac:dyDescent="0.3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13.45" hidden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ht="32.25" customHeight="1" x14ac:dyDescent="0.25">
      <c r="A15" s="53" t="s">
        <v>179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</row>
    <row r="16" spans="1:11" x14ac:dyDescent="0.25">
      <c r="A16" s="54" t="s">
        <v>134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ht="13.4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ht="13.45" x14ac:dyDescent="0.25">
      <c r="A18" s="41" t="str">
        <f>CONCATENATE( "Основание: чертежи № ", Source!J12)</f>
        <v xml:space="preserve">Основание: чертежи № 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</row>
    <row r="19" spans="1:11" ht="13.45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ht="13.45" x14ac:dyDescent="0.25">
      <c r="A20" s="9"/>
      <c r="B20" s="9"/>
      <c r="C20" s="9"/>
      <c r="D20" s="9"/>
      <c r="E20" s="9"/>
      <c r="F20" s="51" t="s">
        <v>135</v>
      </c>
      <c r="G20" s="51"/>
      <c r="H20" s="51"/>
      <c r="I20" s="42">
        <f>I21+I22+I23+I24</f>
        <v>90160.46</v>
      </c>
      <c r="J20" s="52"/>
      <c r="K20" s="9" t="s">
        <v>136</v>
      </c>
    </row>
    <row r="21" spans="1:11" ht="13.45" hidden="1" x14ac:dyDescent="0.25">
      <c r="A21" s="9"/>
      <c r="B21" s="9"/>
      <c r="C21" s="9"/>
      <c r="D21" s="9"/>
      <c r="E21" s="9"/>
      <c r="F21" s="51" t="s">
        <v>137</v>
      </c>
      <c r="G21" s="51"/>
      <c r="H21" s="51"/>
      <c r="I21" s="42">
        <f>ROUND((Source!F186)/1000, 2)</f>
        <v>0</v>
      </c>
      <c r="J21" s="52"/>
      <c r="K21" s="9" t="s">
        <v>136</v>
      </c>
    </row>
    <row r="22" spans="1:11" ht="13.45" hidden="1" x14ac:dyDescent="0.25">
      <c r="A22" s="9"/>
      <c r="B22" s="9"/>
      <c r="C22" s="9"/>
      <c r="D22" s="9"/>
      <c r="E22" s="9"/>
      <c r="F22" s="51" t="s">
        <v>138</v>
      </c>
      <c r="G22" s="51"/>
      <c r="H22" s="51"/>
      <c r="I22" s="42">
        <f>ROUND((Source!F187)/1000, 2)</f>
        <v>0</v>
      </c>
      <c r="J22" s="52"/>
      <c r="K22" s="9" t="s">
        <v>136</v>
      </c>
    </row>
    <row r="23" spans="1:11" ht="13.45" hidden="1" x14ac:dyDescent="0.25">
      <c r="A23" s="9"/>
      <c r="B23" s="9"/>
      <c r="C23" s="9"/>
      <c r="D23" s="9"/>
      <c r="E23" s="9"/>
      <c r="F23" s="51" t="s">
        <v>139</v>
      </c>
      <c r="G23" s="51"/>
      <c r="H23" s="51"/>
      <c r="I23" s="42">
        <f>ROUND((Source!F178)/1000, 2)</f>
        <v>0</v>
      </c>
      <c r="J23" s="52"/>
      <c r="K23" s="9" t="s">
        <v>136</v>
      </c>
    </row>
    <row r="24" spans="1:11" ht="13.45" hidden="1" x14ac:dyDescent="0.25">
      <c r="A24" s="9"/>
      <c r="B24" s="9"/>
      <c r="C24" s="9"/>
      <c r="D24" s="9"/>
      <c r="E24" s="9"/>
      <c r="F24" s="51" t="s">
        <v>140</v>
      </c>
      <c r="G24" s="51"/>
      <c r="H24" s="51"/>
      <c r="I24" s="42">
        <f>ROUND((Source!F188+Source!F189)/1000, 2)</f>
        <v>90160.46</v>
      </c>
      <c r="J24" s="52"/>
      <c r="K24" s="9" t="s">
        <v>136</v>
      </c>
    </row>
    <row r="25" spans="1:11" ht="13.45" x14ac:dyDescent="0.25">
      <c r="A25" s="9"/>
      <c r="B25" s="9"/>
      <c r="C25" s="9"/>
      <c r="D25" s="9"/>
      <c r="E25" s="9"/>
      <c r="F25" s="51" t="s">
        <v>141</v>
      </c>
      <c r="G25" s="51"/>
      <c r="H25" s="51"/>
      <c r="I25" s="42">
        <f>(Source!F184+ Source!F183)/1000</f>
        <v>40828.277130000002</v>
      </c>
      <c r="J25" s="52"/>
      <c r="K25" s="9" t="s">
        <v>136</v>
      </c>
    </row>
    <row r="26" spans="1:11" ht="13.45" x14ac:dyDescent="0.25">
      <c r="A26" s="9" t="s">
        <v>155</v>
      </c>
      <c r="B26" s="9"/>
      <c r="C26" s="9"/>
      <c r="D26" s="13"/>
      <c r="E26" s="14"/>
      <c r="F26" s="9"/>
      <c r="G26" s="9"/>
      <c r="H26" s="9"/>
      <c r="I26" s="9"/>
      <c r="J26" s="9"/>
      <c r="K26" s="9"/>
    </row>
    <row r="27" spans="1:11" ht="14" x14ac:dyDescent="0.25">
      <c r="A27" s="49" t="s">
        <v>142</v>
      </c>
      <c r="B27" s="49" t="s">
        <v>143</v>
      </c>
      <c r="C27" s="49" t="s">
        <v>144</v>
      </c>
      <c r="D27" s="49" t="s">
        <v>145</v>
      </c>
      <c r="E27" s="49" t="s">
        <v>146</v>
      </c>
      <c r="F27" s="49" t="s">
        <v>147</v>
      </c>
      <c r="G27" s="49" t="s">
        <v>148</v>
      </c>
      <c r="H27" s="49" t="s">
        <v>149</v>
      </c>
      <c r="I27" s="49" t="s">
        <v>150</v>
      </c>
      <c r="J27" s="49" t="s">
        <v>151</v>
      </c>
      <c r="K27" s="16" t="s">
        <v>152</v>
      </c>
    </row>
    <row r="28" spans="1:11" ht="26.9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17" t="s">
        <v>153</v>
      </c>
    </row>
    <row r="29" spans="1:11" ht="26.9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17" t="s">
        <v>154</v>
      </c>
    </row>
    <row r="30" spans="1:11" ht="13.45" x14ac:dyDescent="0.25">
      <c r="A30" s="17">
        <v>1</v>
      </c>
      <c r="B30" s="17">
        <v>2</v>
      </c>
      <c r="C30" s="17">
        <v>3</v>
      </c>
      <c r="D30" s="17">
        <v>4</v>
      </c>
      <c r="E30" s="17">
        <v>5</v>
      </c>
      <c r="F30" s="17">
        <v>6</v>
      </c>
      <c r="G30" s="17">
        <v>7</v>
      </c>
      <c r="H30" s="17">
        <v>8</v>
      </c>
      <c r="I30" s="17">
        <v>9</v>
      </c>
      <c r="J30" s="17">
        <v>10</v>
      </c>
      <c r="K30" s="17">
        <v>11</v>
      </c>
    </row>
    <row r="32" spans="1:11" ht="16.7" x14ac:dyDescent="0.35">
      <c r="A32" s="47" t="s">
        <v>181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</row>
    <row r="34" spans="1:31" ht="13.6" customHeight="1" x14ac:dyDescent="0.35">
      <c r="A34" s="47" t="str">
        <f>CONCATENATE("Раздел: ",IF(Source!G24&lt;&gt;"Новый раздел", Source!G24, ""))</f>
        <v>Раздел: Очистка снега с крыш с уборкой сброшенного снега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AE34" s="18" t="str">
        <f>CONCATENATE("Раздел: ",IF(Source!G24&lt;&gt;"Новый раздел", Source!G24, ""))</f>
        <v>Раздел: Очистка снега с крыш с уборкой сброшенного снега</v>
      </c>
    </row>
    <row r="35" spans="1:31" ht="26.9" x14ac:dyDescent="0.3">
      <c r="A35" s="19">
        <v>1</v>
      </c>
      <c r="B35" s="19" t="str">
        <f>Source!F28</f>
        <v>1.7-1102-1-1/1</v>
      </c>
      <c r="C35" s="19" t="str">
        <f>Source!G28</f>
        <v>Очистка снега с крыш при толщине слоя до 10 см</v>
      </c>
      <c r="D35" s="20" t="str">
        <f>Source!H28</f>
        <v>100 м2</v>
      </c>
      <c r="E35" s="8">
        <f>Source!I28</f>
        <v>566.75</v>
      </c>
      <c r="F35" s="22"/>
      <c r="G35" s="21"/>
      <c r="H35" s="8"/>
      <c r="I35" s="8"/>
      <c r="J35" s="22"/>
      <c r="K35" s="22"/>
      <c r="Q35">
        <f>ROUND((Source!BZ28/100)*ROUND((Source!AF28*Source!AV28)*Source!I28, 2), 2)</f>
        <v>3476580.52</v>
      </c>
      <c r="R35">
        <f>Source!X28</f>
        <v>3476580.52</v>
      </c>
      <c r="S35">
        <f>ROUND((Source!CA28/100)*ROUND((Source!AF28*Source!AV28)*Source!I28, 2), 2)</f>
        <v>496654.36</v>
      </c>
      <c r="T35">
        <f>Source!Y28</f>
        <v>496654.36</v>
      </c>
      <c r="U35">
        <f>ROUND((175/100)*ROUND((Source!AE28*Source!AV28)*Source!I28, 2), 2)</f>
        <v>0</v>
      </c>
      <c r="V35">
        <f>ROUND((108/100)*ROUND(Source!CS28*Source!I28, 2), 2)</f>
        <v>0</v>
      </c>
    </row>
    <row r="36" spans="1:31" x14ac:dyDescent="0.25">
      <c r="C36" s="23" t="str">
        <f>"Объем: "&amp;Source!I28&amp;"=(22091)/"&amp;"100"</f>
        <v>Объем: 566,75=(22091)/100</v>
      </c>
    </row>
    <row r="37" spans="1:31" ht="14" x14ac:dyDescent="0.3">
      <c r="A37" s="19"/>
      <c r="B37" s="19"/>
      <c r="C37" s="19" t="s">
        <v>156</v>
      </c>
      <c r="D37" s="20"/>
      <c r="E37" s="8"/>
      <c r="F37" s="22">
        <f>Source!AO28</f>
        <v>1095.4000000000001</v>
      </c>
      <c r="G37" s="21" t="str">
        <f>Source!DG28</f>
        <v>)*8</v>
      </c>
      <c r="H37" s="8">
        <f>Source!AV28</f>
        <v>1</v>
      </c>
      <c r="I37" s="8">
        <f>IF(Source!BA28&lt;&gt; 0, Source!BA28, 1)</f>
        <v>1</v>
      </c>
      <c r="J37" s="22">
        <f>Source!S28</f>
        <v>4966543.5999999996</v>
      </c>
      <c r="K37" s="22"/>
    </row>
    <row r="38" spans="1:31" ht="14" x14ac:dyDescent="0.3">
      <c r="A38" s="19"/>
      <c r="B38" s="19"/>
      <c r="C38" s="19" t="s">
        <v>157</v>
      </c>
      <c r="D38" s="20" t="s">
        <v>158</v>
      </c>
      <c r="E38" s="8">
        <f>Source!AT28</f>
        <v>70</v>
      </c>
      <c r="F38" s="22"/>
      <c r="G38" s="21"/>
      <c r="H38" s="8"/>
      <c r="I38" s="8"/>
      <c r="J38" s="22">
        <f>SUM(R35:R37)</f>
        <v>3476580.52</v>
      </c>
      <c r="K38" s="22"/>
    </row>
    <row r="39" spans="1:31" ht="14" x14ac:dyDescent="0.3">
      <c r="A39" s="19"/>
      <c r="B39" s="19"/>
      <c r="C39" s="19" t="s">
        <v>159</v>
      </c>
      <c r="D39" s="20" t="s">
        <v>158</v>
      </c>
      <c r="E39" s="8">
        <f>Source!AU28</f>
        <v>10</v>
      </c>
      <c r="F39" s="22"/>
      <c r="G39" s="21"/>
      <c r="H39" s="8"/>
      <c r="I39" s="8"/>
      <c r="J39" s="22">
        <f>SUM(T35:T38)</f>
        <v>496654.36</v>
      </c>
      <c r="K39" s="22"/>
    </row>
    <row r="40" spans="1:31" ht="14" x14ac:dyDescent="0.3">
      <c r="A40" s="19"/>
      <c r="B40" s="19"/>
      <c r="C40" s="19" t="s">
        <v>160</v>
      </c>
      <c r="D40" s="20" t="s">
        <v>161</v>
      </c>
      <c r="E40" s="8">
        <f>Source!AQ28</f>
        <v>2.78</v>
      </c>
      <c r="F40" s="22"/>
      <c r="G40" s="21" t="str">
        <f>Source!DI28</f>
        <v>)*8</v>
      </c>
      <c r="H40" s="8">
        <f>Source!AV28</f>
        <v>1</v>
      </c>
      <c r="I40" s="8"/>
      <c r="J40" s="22"/>
      <c r="K40" s="22">
        <f>Source!U28</f>
        <v>12604.519999999999</v>
      </c>
    </row>
    <row r="41" spans="1:31" ht="14" x14ac:dyDescent="0.3">
      <c r="A41" s="25"/>
      <c r="B41" s="25"/>
      <c r="C41" s="25"/>
      <c r="D41" s="25"/>
      <c r="E41" s="25"/>
      <c r="F41" s="25"/>
      <c r="G41" s="25"/>
      <c r="H41" s="25"/>
      <c r="I41" s="48">
        <f>J37+J38+J39</f>
        <v>8939778.4799999986</v>
      </c>
      <c r="J41" s="48"/>
      <c r="K41" s="26">
        <f>IF(Source!I28&lt;&gt;0, ROUND(I41/Source!I28, 2), 0)</f>
        <v>15773.76</v>
      </c>
      <c r="P41" s="24">
        <f>I41</f>
        <v>8939778.4799999986</v>
      </c>
    </row>
    <row r="42" spans="1:31" ht="40.299999999999997" x14ac:dyDescent="0.3">
      <c r="A42" s="19">
        <v>2</v>
      </c>
      <c r="B42" s="19" t="str">
        <f>Source!F29</f>
        <v>1.7-1102-5-1/1</v>
      </c>
      <c r="C42" s="19" t="str">
        <f>Source!G29</f>
        <v>Очистка крыш от снега и наледи с использованием автовышек, при толщине слоя до 20 см</v>
      </c>
      <c r="D42" s="20" t="str">
        <f>Source!H29</f>
        <v>100 м2</v>
      </c>
      <c r="E42" s="8">
        <f>Source!I29</f>
        <v>709.18</v>
      </c>
      <c r="F42" s="22"/>
      <c r="G42" s="21"/>
      <c r="H42" s="8"/>
      <c r="I42" s="8"/>
      <c r="J42" s="22"/>
      <c r="K42" s="22"/>
      <c r="Q42">
        <f>ROUND((Source!BZ29/100)*ROUND((Source!AF29*Source!AV29)*Source!I29, 2), 2)</f>
        <v>12918593.09</v>
      </c>
      <c r="R42">
        <f>Source!X29</f>
        <v>12918593.09</v>
      </c>
      <c r="S42">
        <f>ROUND((Source!CA29/100)*ROUND((Source!AF29*Source!AV29)*Source!I29, 2), 2)</f>
        <v>1845513.3</v>
      </c>
      <c r="T42">
        <f>Source!Y29</f>
        <v>1845513.3</v>
      </c>
      <c r="U42">
        <f>ROUND((175/100)*ROUND((Source!AE29*Source!AV29)*Source!I29, 2), 2)</f>
        <v>15746632.720000001</v>
      </c>
      <c r="V42">
        <f>ROUND((108/100)*ROUND(Source!CS29*Source!I29, 2), 2)</f>
        <v>9717921.9100000001</v>
      </c>
    </row>
    <row r="43" spans="1:31" x14ac:dyDescent="0.25">
      <c r="C43" s="23" t="str">
        <f>"Объем: "&amp;Source!I29&amp;"=(6200)/"&amp;"100"</f>
        <v>Объем: 709,18=(6200)/100</v>
      </c>
    </row>
    <row r="44" spans="1:31" ht="14" x14ac:dyDescent="0.3">
      <c r="A44" s="19"/>
      <c r="B44" s="19"/>
      <c r="C44" s="19" t="s">
        <v>156</v>
      </c>
      <c r="D44" s="20"/>
      <c r="E44" s="8"/>
      <c r="F44" s="22">
        <f>Source!AO29</f>
        <v>3252.9</v>
      </c>
      <c r="G44" s="21" t="str">
        <f>Source!DG29</f>
        <v>)*8</v>
      </c>
      <c r="H44" s="8">
        <f>Source!AV29</f>
        <v>1</v>
      </c>
      <c r="I44" s="8">
        <f>IF(Source!BA29&lt;&gt; 0, Source!BA29, 1)</f>
        <v>1</v>
      </c>
      <c r="J44" s="22">
        <f>Source!S29</f>
        <v>18455132.98</v>
      </c>
      <c r="K44" s="22"/>
    </row>
    <row r="45" spans="1:31" ht="14" x14ac:dyDescent="0.3">
      <c r="A45" s="19"/>
      <c r="B45" s="19"/>
      <c r="C45" s="19" t="s">
        <v>162</v>
      </c>
      <c r="D45" s="20"/>
      <c r="E45" s="8"/>
      <c r="F45" s="22">
        <f>Source!AM29</f>
        <v>2910.31</v>
      </c>
      <c r="G45" s="21" t="str">
        <f>Source!DE29</f>
        <v>)*8</v>
      </c>
      <c r="H45" s="8">
        <f>Source!AV29</f>
        <v>1</v>
      </c>
      <c r="I45" s="8">
        <f>IF(Source!BB29&lt;&gt; 0, Source!BB29, 1)</f>
        <v>1</v>
      </c>
      <c r="J45" s="22">
        <f>Source!Q29</f>
        <v>16511469.17</v>
      </c>
      <c r="K45" s="22"/>
    </row>
    <row r="46" spans="1:31" ht="14" x14ac:dyDescent="0.3">
      <c r="A46" s="19"/>
      <c r="B46" s="19"/>
      <c r="C46" s="19" t="s">
        <v>163</v>
      </c>
      <c r="D46" s="20"/>
      <c r="E46" s="8"/>
      <c r="F46" s="22">
        <f>Source!AN29</f>
        <v>1586</v>
      </c>
      <c r="G46" s="21" t="str">
        <f>Source!DF29</f>
        <v>)*8</v>
      </c>
      <c r="H46" s="8">
        <f>Source!AV29</f>
        <v>1</v>
      </c>
      <c r="I46" s="8">
        <f>IF(Source!BS29&lt;&gt; 0, Source!BS29, 1)</f>
        <v>1</v>
      </c>
      <c r="J46" s="27">
        <f>Source!R29</f>
        <v>8998075.8399999999</v>
      </c>
      <c r="K46" s="22"/>
    </row>
    <row r="47" spans="1:31" ht="14" x14ac:dyDescent="0.3">
      <c r="A47" s="19"/>
      <c r="B47" s="19"/>
      <c r="C47" s="19" t="s">
        <v>157</v>
      </c>
      <c r="D47" s="20" t="s">
        <v>158</v>
      </c>
      <c r="E47" s="8">
        <f>Source!AT29</f>
        <v>70</v>
      </c>
      <c r="F47" s="22"/>
      <c r="G47" s="21"/>
      <c r="H47" s="8"/>
      <c r="I47" s="8"/>
      <c r="J47" s="22">
        <f>SUM(R42:R46)</f>
        <v>12918593.09</v>
      </c>
      <c r="K47" s="22"/>
    </row>
    <row r="48" spans="1:31" ht="14" x14ac:dyDescent="0.3">
      <c r="A48" s="19"/>
      <c r="B48" s="19"/>
      <c r="C48" s="19" t="s">
        <v>159</v>
      </c>
      <c r="D48" s="20" t="s">
        <v>158</v>
      </c>
      <c r="E48" s="8">
        <f>Source!AU29</f>
        <v>10</v>
      </c>
      <c r="F48" s="22"/>
      <c r="G48" s="21"/>
      <c r="H48" s="8"/>
      <c r="I48" s="8"/>
      <c r="J48" s="22">
        <f>SUM(T42:T47)</f>
        <v>1845513.3</v>
      </c>
      <c r="K48" s="22"/>
    </row>
    <row r="49" spans="1:22" ht="14" x14ac:dyDescent="0.3">
      <c r="A49" s="19"/>
      <c r="B49" s="19"/>
      <c r="C49" s="19" t="s">
        <v>164</v>
      </c>
      <c r="D49" s="20" t="s">
        <v>158</v>
      </c>
      <c r="E49" s="8">
        <f>108</f>
        <v>108</v>
      </c>
      <c r="F49" s="22"/>
      <c r="G49" s="21"/>
      <c r="H49" s="8"/>
      <c r="I49" s="8"/>
      <c r="J49" s="22">
        <f>SUM(V42:V48)</f>
        <v>9717921.9100000001</v>
      </c>
      <c r="K49" s="22"/>
    </row>
    <row r="50" spans="1:22" ht="14" x14ac:dyDescent="0.3">
      <c r="A50" s="19"/>
      <c r="B50" s="19"/>
      <c r="C50" s="19" t="s">
        <v>160</v>
      </c>
      <c r="D50" s="20" t="s">
        <v>161</v>
      </c>
      <c r="E50" s="8">
        <f>Source!AQ29</f>
        <v>7.37</v>
      </c>
      <c r="F50" s="22"/>
      <c r="G50" s="21" t="str">
        <f>Source!DI29</f>
        <v>)*8</v>
      </c>
      <c r="H50" s="8">
        <f>Source!AV29</f>
        <v>1</v>
      </c>
      <c r="I50" s="8"/>
      <c r="J50" s="22"/>
      <c r="K50" s="22">
        <f>Source!U29</f>
        <v>41813.252799999995</v>
      </c>
    </row>
    <row r="51" spans="1:22" ht="14" x14ac:dyDescent="0.3">
      <c r="A51" s="25"/>
      <c r="B51" s="25"/>
      <c r="C51" s="25"/>
      <c r="D51" s="25"/>
      <c r="E51" s="25"/>
      <c r="F51" s="25"/>
      <c r="G51" s="25"/>
      <c r="H51" s="25"/>
      <c r="I51" s="48">
        <f>J44+J45+J47+J48+J49</f>
        <v>59448630.449999988</v>
      </c>
      <c r="J51" s="48"/>
      <c r="K51" s="26">
        <f>IF(Source!I29&lt;&gt;0, ROUND(I51/Source!I29, 2), 0)</f>
        <v>83827.28</v>
      </c>
      <c r="P51" s="24">
        <f>I51</f>
        <v>59448630.449999988</v>
      </c>
    </row>
    <row r="52" spans="1:22" ht="26.9" x14ac:dyDescent="0.3">
      <c r="A52" s="19">
        <v>3</v>
      </c>
      <c r="B52" s="19" t="str">
        <f>Source!F30</f>
        <v>5.3-1102-8-1/1</v>
      </c>
      <c r="C52" s="19" t="str">
        <f>Source!G30</f>
        <v>Уборка свежевыпавшего снега вручную толщиной слоя до 10 см (20%)</v>
      </c>
      <c r="D52" s="20" t="str">
        <f>Source!H30</f>
        <v>100 м2</v>
      </c>
      <c r="E52" s="8">
        <f>Source!I30</f>
        <v>255.18600000000001</v>
      </c>
      <c r="F52" s="22"/>
      <c r="G52" s="21"/>
      <c r="H52" s="8"/>
      <c r="I52" s="8"/>
      <c r="J52" s="22"/>
      <c r="K52" s="22"/>
      <c r="Q52">
        <f>ROUND((Source!BZ30/100)*ROUND((Source!AF30*Source!AV30)*Source!I30, 2), 2)</f>
        <v>366006.14</v>
      </c>
      <c r="R52">
        <f>Source!X30</f>
        <v>366006.14</v>
      </c>
      <c r="S52">
        <f>ROUND((Source!CA30/100)*ROUND((Source!AF30*Source!AV30)*Source!I30, 2), 2)</f>
        <v>52286.59</v>
      </c>
      <c r="T52">
        <f>Source!Y30</f>
        <v>52286.59</v>
      </c>
      <c r="U52">
        <f>ROUND((175/100)*ROUND((Source!AE30*Source!AV30)*Source!I30, 2), 2)</f>
        <v>0</v>
      </c>
      <c r="V52">
        <f>ROUND((108/100)*ROUND(Source!CS30*Source!I30, 2), 2)</f>
        <v>0</v>
      </c>
    </row>
    <row r="53" spans="1:22" x14ac:dyDescent="0.25">
      <c r="C53" s="23" t="str">
        <f>"Объем: "&amp;Source!I30&amp;"=(579)/"&amp;"100"</f>
        <v>Объем: 255,186=(579)/100</v>
      </c>
    </row>
    <row r="54" spans="1:22" ht="14" x14ac:dyDescent="0.3">
      <c r="A54" s="19"/>
      <c r="B54" s="19"/>
      <c r="C54" s="19" t="s">
        <v>156</v>
      </c>
      <c r="D54" s="20"/>
      <c r="E54" s="8"/>
      <c r="F54" s="22">
        <f>Source!AO30</f>
        <v>256.12</v>
      </c>
      <c r="G54" s="21" t="str">
        <f>Source!DG30</f>
        <v>)*8</v>
      </c>
      <c r="H54" s="8">
        <f>Source!AV30</f>
        <v>1</v>
      </c>
      <c r="I54" s="8">
        <f>IF(Source!BA30&lt;&gt; 0, Source!BA30, 1)</f>
        <v>1</v>
      </c>
      <c r="J54" s="22">
        <f>Source!S30</f>
        <v>522865.91</v>
      </c>
      <c r="K54" s="22"/>
    </row>
    <row r="55" spans="1:22" ht="14" x14ac:dyDescent="0.3">
      <c r="A55" s="19"/>
      <c r="B55" s="19"/>
      <c r="C55" s="19" t="s">
        <v>157</v>
      </c>
      <c r="D55" s="20" t="s">
        <v>158</v>
      </c>
      <c r="E55" s="8">
        <f>Source!AT30</f>
        <v>70</v>
      </c>
      <c r="F55" s="22"/>
      <c r="G55" s="21"/>
      <c r="H55" s="8"/>
      <c r="I55" s="8"/>
      <c r="J55" s="22">
        <f>SUM(R52:R54)</f>
        <v>366006.14</v>
      </c>
      <c r="K55" s="22"/>
    </row>
    <row r="56" spans="1:22" ht="14" x14ac:dyDescent="0.3">
      <c r="A56" s="19"/>
      <c r="B56" s="19"/>
      <c r="C56" s="19" t="s">
        <v>159</v>
      </c>
      <c r="D56" s="20" t="s">
        <v>158</v>
      </c>
      <c r="E56" s="8">
        <f>Source!AU30</f>
        <v>10</v>
      </c>
      <c r="F56" s="22"/>
      <c r="G56" s="21"/>
      <c r="H56" s="8"/>
      <c r="I56" s="8"/>
      <c r="J56" s="22">
        <f>SUM(T52:T55)</f>
        <v>52286.59</v>
      </c>
      <c r="K56" s="22"/>
    </row>
    <row r="57" spans="1:22" ht="14" x14ac:dyDescent="0.3">
      <c r="A57" s="19"/>
      <c r="B57" s="19"/>
      <c r="C57" s="19" t="s">
        <v>160</v>
      </c>
      <c r="D57" s="20" t="s">
        <v>161</v>
      </c>
      <c r="E57" s="8">
        <f>Source!AQ30</f>
        <v>0.65</v>
      </c>
      <c r="F57" s="22"/>
      <c r="G57" s="21" t="str">
        <f>Source!DI30</f>
        <v>)*8</v>
      </c>
      <c r="H57" s="8">
        <f>Source!AV30</f>
        <v>1</v>
      </c>
      <c r="I57" s="8"/>
      <c r="J57" s="22"/>
      <c r="K57" s="22">
        <f>Source!U30</f>
        <v>1326.9672</v>
      </c>
    </row>
    <row r="58" spans="1:22" ht="14" x14ac:dyDescent="0.3">
      <c r="A58" s="25"/>
      <c r="B58" s="25"/>
      <c r="C58" s="25"/>
      <c r="D58" s="25"/>
      <c r="E58" s="25"/>
      <c r="F58" s="25"/>
      <c r="G58" s="25"/>
      <c r="H58" s="25"/>
      <c r="I58" s="48">
        <f>J54+J55+J56</f>
        <v>941158.64</v>
      </c>
      <c r="J58" s="48"/>
      <c r="K58" s="26">
        <f>IF(Source!I30&lt;&gt;0, ROUND(I58/Source!I30, 2), 0)</f>
        <v>3688.13</v>
      </c>
      <c r="P58" s="24">
        <f>I58</f>
        <v>941158.64</v>
      </c>
    </row>
    <row r="59" spans="1:22" ht="26.9" x14ac:dyDescent="0.3">
      <c r="A59" s="19">
        <v>4</v>
      </c>
      <c r="B59" s="19" t="str">
        <f>Source!F31</f>
        <v>5.3-1102-12-1/1</v>
      </c>
      <c r="C59" s="19" t="str">
        <f>Source!G31</f>
        <v>Уборка снега средствами малой механизации (80%)</v>
      </c>
      <c r="D59" s="20" t="str">
        <f>Source!H31</f>
        <v>1000 м2</v>
      </c>
      <c r="E59" s="8">
        <f>Source!I31</f>
        <v>102.0744</v>
      </c>
      <c r="F59" s="22"/>
      <c r="G59" s="21"/>
      <c r="H59" s="8"/>
      <c r="I59" s="8"/>
      <c r="J59" s="22"/>
      <c r="K59" s="22"/>
      <c r="Q59">
        <f>ROUND((Source!BZ31/100)*ROUND((Source!AF31*Source!AV31)*Source!I31, 2), 2)</f>
        <v>0</v>
      </c>
      <c r="R59">
        <f>Source!X31</f>
        <v>0</v>
      </c>
      <c r="S59">
        <f>ROUND((Source!CA31/100)*ROUND((Source!AF31*Source!AV31)*Source!I31, 2), 2)</f>
        <v>0</v>
      </c>
      <c r="T59">
        <f>Source!Y31</f>
        <v>0</v>
      </c>
      <c r="U59">
        <f>ROUND((175/100)*ROUND((Source!AE31*Source!AV31)*Source!I31, 2), 2)</f>
        <v>535347.56000000006</v>
      </c>
      <c r="V59">
        <f>ROUND((108/100)*ROUND(Source!CS31*Source!I31, 2), 2)</f>
        <v>330385.91999999998</v>
      </c>
    </row>
    <row r="60" spans="1:22" x14ac:dyDescent="0.25">
      <c r="C60" s="23" t="str">
        <f>"Объем: "&amp;Source!I31&amp;"=(2316)/"&amp;"1000"</f>
        <v>Объем: 102,0744=(2316)/1000</v>
      </c>
    </row>
    <row r="61" spans="1:22" ht="14" x14ac:dyDescent="0.3">
      <c r="A61" s="19"/>
      <c r="B61" s="19"/>
      <c r="C61" s="19" t="s">
        <v>162</v>
      </c>
      <c r="D61" s="20"/>
      <c r="E61" s="8"/>
      <c r="F61" s="22">
        <f>Source!AM31</f>
        <v>1098.82</v>
      </c>
      <c r="G61" s="21" t="str">
        <f>Source!DE31</f>
        <v>)*8</v>
      </c>
      <c r="H61" s="8">
        <f>Source!AV31</f>
        <v>1</v>
      </c>
      <c r="I61" s="8">
        <f>IF(Source!BB31&lt;&gt; 0, Source!BB31, 1)</f>
        <v>1</v>
      </c>
      <c r="J61" s="22">
        <f>Source!Q31</f>
        <v>897291.14</v>
      </c>
      <c r="K61" s="22"/>
    </row>
    <row r="62" spans="1:22" ht="14" x14ac:dyDescent="0.3">
      <c r="A62" s="19"/>
      <c r="B62" s="19"/>
      <c r="C62" s="19" t="s">
        <v>163</v>
      </c>
      <c r="D62" s="20"/>
      <c r="E62" s="8"/>
      <c r="F62" s="22">
        <f>Source!AN31</f>
        <v>374.62</v>
      </c>
      <c r="G62" s="21" t="str">
        <f>Source!DF31</f>
        <v>)*8</v>
      </c>
      <c r="H62" s="8">
        <f>Source!AV31</f>
        <v>1</v>
      </c>
      <c r="I62" s="8">
        <f>IF(Source!BS31&lt;&gt; 0, Source!BS31, 1)</f>
        <v>1</v>
      </c>
      <c r="J62" s="27">
        <f>Source!R31</f>
        <v>305912.89</v>
      </c>
      <c r="K62" s="22"/>
    </row>
    <row r="63" spans="1:22" ht="14" x14ac:dyDescent="0.3">
      <c r="A63" s="19"/>
      <c r="B63" s="19"/>
      <c r="C63" s="19" t="s">
        <v>164</v>
      </c>
      <c r="D63" s="20" t="s">
        <v>158</v>
      </c>
      <c r="E63" s="8">
        <f>108</f>
        <v>108</v>
      </c>
      <c r="F63" s="22"/>
      <c r="G63" s="21"/>
      <c r="H63" s="8"/>
      <c r="I63" s="8"/>
      <c r="J63" s="22">
        <f>SUM(V59:V62)</f>
        <v>330385.91999999998</v>
      </c>
      <c r="K63" s="22"/>
    </row>
    <row r="64" spans="1:22" ht="14" x14ac:dyDescent="0.3">
      <c r="A64" s="25"/>
      <c r="B64" s="25"/>
      <c r="C64" s="25"/>
      <c r="D64" s="25"/>
      <c r="E64" s="25"/>
      <c r="F64" s="25"/>
      <c r="G64" s="25"/>
      <c r="H64" s="25"/>
      <c r="I64" s="48">
        <f>J61+J63</f>
        <v>1227677.06</v>
      </c>
      <c r="J64" s="48"/>
      <c r="K64" s="26">
        <f>IF(Source!I31&lt;&gt;0, ROUND(I64/Source!I31, 2), 0)</f>
        <v>12027.28</v>
      </c>
      <c r="P64" s="24">
        <f>I64</f>
        <v>1227677.06</v>
      </c>
    </row>
    <row r="66" spans="1:32" ht="14" x14ac:dyDescent="0.3">
      <c r="A66" s="46" t="str">
        <f>CONCATENATE("Итого по разделу: ",IF(Source!G33&lt;&gt;"Новый раздел", Source!G33, ""))</f>
        <v>Итого по разделу: Очистка снега с крыш с уборкой сброшенного снега</v>
      </c>
      <c r="B66" s="46"/>
      <c r="C66" s="46"/>
      <c r="D66" s="46"/>
      <c r="E66" s="46"/>
      <c r="F66" s="46"/>
      <c r="G66" s="46"/>
      <c r="H66" s="46"/>
      <c r="I66" s="44">
        <f>SUM(P34:P65)</f>
        <v>70557244.629999995</v>
      </c>
      <c r="J66" s="45"/>
      <c r="K66" s="28"/>
      <c r="AF66" s="29" t="str">
        <f>CONCATENATE("Итого по разделу: ",IF(Source!G33&lt;&gt;"Новый раздел", Source!G33, ""))</f>
        <v>Итого по разделу: Очистка снега с крыш с уборкой сброшенного снега</v>
      </c>
    </row>
    <row r="69" spans="1:32" ht="18.8" customHeight="1" x14ac:dyDescent="0.35">
      <c r="A69" s="47" t="str">
        <f>CONCATENATE("Раздел: ",IF(Source!G63&lt;&gt;"Новый раздел", Source!G63, ""))</f>
        <v>Раздел: Осмотр и прочистка отливов водосточных труб. Водостоки 308 шт.</v>
      </c>
      <c r="B69" s="47"/>
      <c r="C69" s="47"/>
      <c r="D69" s="47"/>
      <c r="E69" s="47"/>
      <c r="F69" s="47"/>
      <c r="G69" s="47"/>
      <c r="H69" s="47"/>
      <c r="I69" s="47"/>
      <c r="J69" s="47"/>
      <c r="K69" s="47"/>
      <c r="AE69" s="18" t="str">
        <f>CONCATENATE("Раздел: ",IF(Source!G63&lt;&gt;"Новый раздел", Source!G63, ""))</f>
        <v>Раздел: Осмотр и прочистка отливов водосточных труб. Водостоки 308 шт.</v>
      </c>
    </row>
    <row r="70" spans="1:32" ht="26.9" x14ac:dyDescent="0.3">
      <c r="A70" s="19">
        <v>5</v>
      </c>
      <c r="B70" s="19" t="str">
        <f>Source!F67</f>
        <v>1.7-1102-3-1/1</v>
      </c>
      <c r="C70" s="19" t="str">
        <f>Source!G67</f>
        <v>Осмотр и прочистка отливов водосточных труб от наледи и мусора</v>
      </c>
      <c r="D70" s="20" t="str">
        <f>Source!H67</f>
        <v>10 шт.</v>
      </c>
      <c r="E70" s="8">
        <f>Source!I67</f>
        <v>30.8</v>
      </c>
      <c r="F70" s="22"/>
      <c r="G70" s="21"/>
      <c r="H70" s="8"/>
      <c r="I70" s="8"/>
      <c r="J70" s="22"/>
      <c r="K70" s="22"/>
      <c r="Q70">
        <f>ROUND((Source!BZ67/100)*ROUND((Source!AF67*Source!AV67)*Source!I67, 2), 2)</f>
        <v>79516.73</v>
      </c>
      <c r="R70">
        <f>Source!X67</f>
        <v>79516.73</v>
      </c>
      <c r="S70">
        <f>ROUND((Source!CA67/100)*ROUND((Source!AF67*Source!AV67)*Source!I67, 2), 2)</f>
        <v>11359.53</v>
      </c>
      <c r="T70">
        <f>Source!Y67</f>
        <v>11359.53</v>
      </c>
      <c r="U70">
        <f>ROUND((175/100)*ROUND((Source!AE67*Source!AV67)*Source!I67, 2), 2)</f>
        <v>0</v>
      </c>
      <c r="V70">
        <f>ROUND((108/100)*ROUND(Source!CS67*Source!I67, 2), 2)</f>
        <v>0</v>
      </c>
    </row>
    <row r="71" spans="1:32" x14ac:dyDescent="0.25">
      <c r="C71" s="23" t="str">
        <f>"Объем: "&amp;Source!I67&amp;"=(268)/"&amp;"10"</f>
        <v>Объем: 30,8=(268)/10</v>
      </c>
    </row>
    <row r="72" spans="1:32" ht="14" x14ac:dyDescent="0.3">
      <c r="A72" s="19"/>
      <c r="B72" s="19"/>
      <c r="C72" s="19" t="s">
        <v>156</v>
      </c>
      <c r="D72" s="20"/>
      <c r="E72" s="8"/>
      <c r="F72" s="22">
        <f>Source!AO67</f>
        <v>461.02</v>
      </c>
      <c r="G72" s="21" t="str">
        <f>Source!DG67</f>
        <v>)*8</v>
      </c>
      <c r="H72" s="8">
        <f>Source!AV67</f>
        <v>1</v>
      </c>
      <c r="I72" s="8">
        <f>IF(Source!BA67&lt;&gt; 0, Source!BA67, 1)</f>
        <v>1</v>
      </c>
      <c r="J72" s="22">
        <f>Source!S67</f>
        <v>113595.33</v>
      </c>
      <c r="K72" s="22"/>
    </row>
    <row r="73" spans="1:32" ht="14" x14ac:dyDescent="0.3">
      <c r="A73" s="19"/>
      <c r="B73" s="19"/>
      <c r="C73" s="19" t="s">
        <v>157</v>
      </c>
      <c r="D73" s="20" t="s">
        <v>158</v>
      </c>
      <c r="E73" s="8">
        <f>Source!AT67</f>
        <v>70</v>
      </c>
      <c r="F73" s="22"/>
      <c r="G73" s="21"/>
      <c r="H73" s="8"/>
      <c r="I73" s="8"/>
      <c r="J73" s="22">
        <f>SUM(R70:R72)</f>
        <v>79516.73</v>
      </c>
      <c r="K73" s="22"/>
    </row>
    <row r="74" spans="1:32" ht="14" x14ac:dyDescent="0.3">
      <c r="A74" s="19"/>
      <c r="B74" s="19"/>
      <c r="C74" s="19" t="s">
        <v>159</v>
      </c>
      <c r="D74" s="20" t="s">
        <v>158</v>
      </c>
      <c r="E74" s="8">
        <f>Source!AU67</f>
        <v>10</v>
      </c>
      <c r="F74" s="22"/>
      <c r="G74" s="21"/>
      <c r="H74" s="8"/>
      <c r="I74" s="8"/>
      <c r="J74" s="22">
        <f>SUM(T70:T73)</f>
        <v>11359.53</v>
      </c>
      <c r="K74" s="22"/>
    </row>
    <row r="75" spans="1:32" ht="14" x14ac:dyDescent="0.3">
      <c r="A75" s="19"/>
      <c r="B75" s="19"/>
      <c r="C75" s="19" t="s">
        <v>160</v>
      </c>
      <c r="D75" s="20" t="s">
        <v>161</v>
      </c>
      <c r="E75" s="8">
        <f>Source!AQ67</f>
        <v>1.17</v>
      </c>
      <c r="F75" s="22"/>
      <c r="G75" s="21" t="str">
        <f>Source!DI67</f>
        <v>)*8</v>
      </c>
      <c r="H75" s="8">
        <f>Source!AV67</f>
        <v>1</v>
      </c>
      <c r="I75" s="8"/>
      <c r="J75" s="22"/>
      <c r="K75" s="22">
        <f>Source!U67</f>
        <v>288.28800000000001</v>
      </c>
    </row>
    <row r="76" spans="1:32" ht="14" x14ac:dyDescent="0.3">
      <c r="A76" s="25"/>
      <c r="B76" s="25"/>
      <c r="C76" s="25"/>
      <c r="D76" s="25"/>
      <c r="E76" s="25"/>
      <c r="F76" s="25"/>
      <c r="G76" s="25"/>
      <c r="H76" s="25"/>
      <c r="I76" s="48">
        <f>J72+J73+J74</f>
        <v>204471.59</v>
      </c>
      <c r="J76" s="48"/>
      <c r="K76" s="26">
        <f>IF(Source!I67&lt;&gt;0, ROUND(I76/Source!I67, 2), 0)</f>
        <v>6638.69</v>
      </c>
      <c r="P76" s="24">
        <f>I76</f>
        <v>204471.59</v>
      </c>
    </row>
    <row r="78" spans="1:32" ht="14" x14ac:dyDescent="0.3">
      <c r="A78" s="46" t="str">
        <f>CONCATENATE("Итого по разделу: ",IF(Source!G69&lt;&gt;"Новый раздел", Source!G69, ""))</f>
        <v>Итого по разделу: Осмотр и прочистка отливов водосточных труб. Водостоки 308 шт.</v>
      </c>
      <c r="B78" s="46"/>
      <c r="C78" s="46"/>
      <c r="D78" s="46"/>
      <c r="E78" s="46"/>
      <c r="F78" s="46"/>
      <c r="G78" s="46"/>
      <c r="H78" s="46"/>
      <c r="I78" s="44">
        <f>SUM(P69:P77)</f>
        <v>204471.59</v>
      </c>
      <c r="J78" s="45"/>
      <c r="K78" s="28"/>
      <c r="AF78" s="29" t="str">
        <f>CONCATENATE("Итого по разделу: ",IF(Source!G69&lt;&gt;"Новый раздел", Source!G69, ""))</f>
        <v>Итого по разделу: Осмотр и прочистка отливов водосточных труб. Водостоки 308 шт.</v>
      </c>
    </row>
    <row r="81" spans="1:31" ht="16.7" x14ac:dyDescent="0.35">
      <c r="A81" s="47" t="str">
        <f>CONCATENATE("Раздел: ",IF(Source!G99&lt;&gt;"Новый раздел", Source!G99, ""))</f>
        <v>Раздел: Скол сосулек с крыш и перемещение снега.</v>
      </c>
      <c r="B81" s="47"/>
      <c r="C81" s="47"/>
      <c r="D81" s="47"/>
      <c r="E81" s="47"/>
      <c r="F81" s="47"/>
      <c r="G81" s="47"/>
      <c r="H81" s="47"/>
      <c r="I81" s="47"/>
      <c r="J81" s="47"/>
      <c r="K81" s="47"/>
      <c r="AE81" s="18" t="str">
        <f>CONCATENATE("Раздел: ",IF(Source!G99&lt;&gt;"Новый раздел", Source!G99, ""))</f>
        <v>Раздел: Скол сосулек с крыш и перемещение снега.</v>
      </c>
    </row>
    <row r="82" spans="1:31" ht="26.9" x14ac:dyDescent="0.3">
      <c r="A82" s="19">
        <v>6</v>
      </c>
      <c r="B82" s="19" t="str">
        <f>Source!F103</f>
        <v>1.7-1102-2-1/1</v>
      </c>
      <c r="C82" s="19" t="str">
        <f>Source!G103</f>
        <v>Скол сосулек с крыш</v>
      </c>
      <c r="D82" s="20" t="str">
        <f>Source!H103</f>
        <v>100 м</v>
      </c>
      <c r="E82" s="8">
        <f>Source!I103</f>
        <v>36.96</v>
      </c>
      <c r="F82" s="22"/>
      <c r="G82" s="21"/>
      <c r="H82" s="8"/>
      <c r="I82" s="8"/>
      <c r="J82" s="22"/>
      <c r="K82" s="22"/>
      <c r="Q82">
        <f>ROUND((Source!BZ103/100)*ROUND((Source!AF103*Source!AV103)*Source!I103, 2), 2)</f>
        <v>352316.62</v>
      </c>
      <c r="R82">
        <f>Source!X103</f>
        <v>352316.62</v>
      </c>
      <c r="S82">
        <f>ROUND((Source!CA103/100)*ROUND((Source!AF103*Source!AV103)*Source!I103, 2), 2)</f>
        <v>50330.95</v>
      </c>
      <c r="T82">
        <f>Source!Y103</f>
        <v>50330.95</v>
      </c>
      <c r="U82">
        <f>ROUND((175/100)*ROUND((Source!AE103*Source!AV103)*Source!I103, 2), 2)</f>
        <v>0</v>
      </c>
      <c r="V82">
        <f>ROUND((108/100)*ROUND(Source!CS103*Source!I103, 2), 2)</f>
        <v>0</v>
      </c>
    </row>
    <row r="83" spans="1:31" x14ac:dyDescent="0.25">
      <c r="C83" s="23" t="str">
        <f>"Объем: "&amp;Source!I103&amp;"=(1930)/"&amp;"100"</f>
        <v>Объем: 36,96=(1930)/100</v>
      </c>
    </row>
    <row r="84" spans="1:31" ht="14" x14ac:dyDescent="0.3">
      <c r="A84" s="19"/>
      <c r="B84" s="19"/>
      <c r="C84" s="19" t="s">
        <v>156</v>
      </c>
      <c r="D84" s="20"/>
      <c r="E84" s="8"/>
      <c r="F84" s="22">
        <f>Source!AO103</f>
        <v>1702.21</v>
      </c>
      <c r="G84" s="21" t="str">
        <f>Source!DG103</f>
        <v>)*8</v>
      </c>
      <c r="H84" s="8">
        <f>Source!AV103</f>
        <v>1</v>
      </c>
      <c r="I84" s="8">
        <f>IF(Source!BA103&lt;&gt; 0, Source!BA103, 1)</f>
        <v>1</v>
      </c>
      <c r="J84" s="22">
        <f>Source!S103</f>
        <v>503309.45</v>
      </c>
      <c r="K84" s="22"/>
    </row>
    <row r="85" spans="1:31" ht="14" x14ac:dyDescent="0.3">
      <c r="A85" s="19"/>
      <c r="B85" s="19"/>
      <c r="C85" s="19" t="s">
        <v>157</v>
      </c>
      <c r="D85" s="20" t="s">
        <v>158</v>
      </c>
      <c r="E85" s="8">
        <f>Source!AT103</f>
        <v>70</v>
      </c>
      <c r="F85" s="22"/>
      <c r="G85" s="21"/>
      <c r="H85" s="8"/>
      <c r="I85" s="8"/>
      <c r="J85" s="22">
        <f>SUM(R82:R84)</f>
        <v>352316.62</v>
      </c>
      <c r="K85" s="22"/>
    </row>
    <row r="86" spans="1:31" ht="14" x14ac:dyDescent="0.3">
      <c r="A86" s="19"/>
      <c r="B86" s="19"/>
      <c r="C86" s="19" t="s">
        <v>159</v>
      </c>
      <c r="D86" s="20" t="s">
        <v>158</v>
      </c>
      <c r="E86" s="8">
        <f>Source!AU103</f>
        <v>10</v>
      </c>
      <c r="F86" s="22"/>
      <c r="G86" s="21"/>
      <c r="H86" s="8"/>
      <c r="I86" s="8"/>
      <c r="J86" s="22">
        <f>SUM(T82:T85)</f>
        <v>50330.95</v>
      </c>
      <c r="K86" s="22"/>
    </row>
    <row r="87" spans="1:31" ht="14" x14ac:dyDescent="0.3">
      <c r="A87" s="19"/>
      <c r="B87" s="19"/>
      <c r="C87" s="19" t="s">
        <v>160</v>
      </c>
      <c r="D87" s="20" t="s">
        <v>161</v>
      </c>
      <c r="E87" s="8">
        <f>Source!AQ103</f>
        <v>4.32</v>
      </c>
      <c r="F87" s="22"/>
      <c r="G87" s="21" t="str">
        <f>Source!DI103</f>
        <v>)*8</v>
      </c>
      <c r="H87" s="8">
        <f>Source!AV103</f>
        <v>1</v>
      </c>
      <c r="I87" s="8"/>
      <c r="J87" s="22"/>
      <c r="K87" s="22">
        <f>Source!U103</f>
        <v>1277.3376000000001</v>
      </c>
    </row>
    <row r="88" spans="1:31" ht="14" x14ac:dyDescent="0.3">
      <c r="A88" s="25"/>
      <c r="B88" s="25"/>
      <c r="C88" s="25"/>
      <c r="D88" s="25"/>
      <c r="E88" s="25"/>
      <c r="F88" s="25"/>
      <c r="G88" s="25"/>
      <c r="H88" s="25"/>
      <c r="I88" s="48">
        <f>J84+J85+J86</f>
        <v>905957.02</v>
      </c>
      <c r="J88" s="48"/>
      <c r="K88" s="26">
        <f>IF(Source!I103&lt;&gt;0, ROUND(I88/Source!I103, 2), 0)</f>
        <v>24511.82</v>
      </c>
      <c r="P88" s="24">
        <f>I88</f>
        <v>905957.02</v>
      </c>
    </row>
    <row r="89" spans="1:31" ht="53.75" x14ac:dyDescent="0.3">
      <c r="A89" s="19">
        <v>7</v>
      </c>
      <c r="B89" s="19" t="str">
        <f>Source!F104</f>
        <v>5.3-1102-25-1/1</v>
      </c>
      <c r="C89" s="19" t="str">
        <f>Source!G104</f>
        <v>Сбор и перемещение снега и скола к месту временного размещения механизированным способом, объем ковша погрузчика до 0,5 м3 - перемещение на 250 м</v>
      </c>
      <c r="D89" s="20" t="str">
        <f>Source!H104</f>
        <v>м3</v>
      </c>
      <c r="E89" s="8">
        <f>Source!I104</f>
        <v>15868.999999999998</v>
      </c>
      <c r="F89" s="22"/>
      <c r="G89" s="21"/>
      <c r="H89" s="8"/>
      <c r="I89" s="8"/>
      <c r="J89" s="22"/>
      <c r="K89" s="22"/>
      <c r="Q89">
        <f>ROUND((Source!BZ104/100)*ROUND((Source!AF104*Source!AV104)*Source!I104, 2), 2)</f>
        <v>1619479.06</v>
      </c>
      <c r="R89">
        <f>Source!X104</f>
        <v>1619479.06</v>
      </c>
      <c r="S89">
        <f>ROUND((Source!CA104/100)*ROUND((Source!AF104*Source!AV104)*Source!I104, 2), 2)</f>
        <v>231354.15</v>
      </c>
      <c r="T89">
        <f>Source!Y104</f>
        <v>231354.15</v>
      </c>
      <c r="U89">
        <f>ROUND((175/100)*ROUND((Source!AE104*Source!AV104)*Source!I104, 2), 2)</f>
        <v>8136274.3399999999</v>
      </c>
      <c r="V89">
        <f>ROUND((108/100)*ROUND(Source!CS104*Source!I104, 2), 2)</f>
        <v>5021243.59</v>
      </c>
    </row>
    <row r="90" spans="1:31" ht="14" x14ac:dyDescent="0.3">
      <c r="A90" s="19"/>
      <c r="B90" s="19"/>
      <c r="C90" s="19" t="s">
        <v>156</v>
      </c>
      <c r="D90" s="20"/>
      <c r="E90" s="8"/>
      <c r="F90" s="22">
        <f>Source!AO104</f>
        <v>145.79</v>
      </c>
      <c r="G90" s="21" t="str">
        <f>Source!DG104</f>
        <v/>
      </c>
      <c r="H90" s="8">
        <f>Source!AV104</f>
        <v>1</v>
      </c>
      <c r="I90" s="8">
        <f>IF(Source!BA104&lt;&gt; 0, Source!BA104, 1)</f>
        <v>1</v>
      </c>
      <c r="J90" s="22">
        <f>Source!S104</f>
        <v>2313541.5099999998</v>
      </c>
      <c r="K90" s="22"/>
    </row>
    <row r="91" spans="1:31" ht="14" x14ac:dyDescent="0.3">
      <c r="A91" s="19"/>
      <c r="B91" s="19"/>
      <c r="C91" s="19" t="s">
        <v>162</v>
      </c>
      <c r="D91" s="20"/>
      <c r="E91" s="8"/>
      <c r="F91" s="22">
        <f>Source!AM104</f>
        <v>586.5</v>
      </c>
      <c r="G91" s="21" t="str">
        <f>Source!DE104</f>
        <v/>
      </c>
      <c r="H91" s="8">
        <f>Source!AV104</f>
        <v>1</v>
      </c>
      <c r="I91" s="8">
        <f>IF(Source!BB104&lt;&gt; 0, Source!BB104, 1)</f>
        <v>1</v>
      </c>
      <c r="J91" s="22">
        <f>Source!Q104</f>
        <v>9307168.5</v>
      </c>
      <c r="K91" s="22"/>
    </row>
    <row r="92" spans="1:31" ht="14" x14ac:dyDescent="0.3">
      <c r="A92" s="19"/>
      <c r="B92" s="19"/>
      <c r="C92" s="19" t="s">
        <v>163</v>
      </c>
      <c r="D92" s="20"/>
      <c r="E92" s="8"/>
      <c r="F92" s="22">
        <f>Source!AN104</f>
        <v>292.98</v>
      </c>
      <c r="G92" s="21" t="str">
        <f>Source!DF104</f>
        <v/>
      </c>
      <c r="H92" s="8">
        <f>Source!AV104</f>
        <v>1</v>
      </c>
      <c r="I92" s="8">
        <f>IF(Source!BS104&lt;&gt; 0, Source!BS104, 1)</f>
        <v>1</v>
      </c>
      <c r="J92" s="27">
        <f>Source!R104</f>
        <v>4649299.62</v>
      </c>
      <c r="K92" s="22"/>
    </row>
    <row r="93" spans="1:31" ht="14" x14ac:dyDescent="0.3">
      <c r="A93" s="19"/>
      <c r="B93" s="19"/>
      <c r="C93" s="19" t="s">
        <v>157</v>
      </c>
      <c r="D93" s="20" t="s">
        <v>158</v>
      </c>
      <c r="E93" s="8">
        <f>Source!AT104</f>
        <v>70</v>
      </c>
      <c r="F93" s="22"/>
      <c r="G93" s="21"/>
      <c r="H93" s="8"/>
      <c r="I93" s="8"/>
      <c r="J93" s="22">
        <f>SUM(R89:R92)</f>
        <v>1619479.06</v>
      </c>
      <c r="K93" s="22"/>
    </row>
    <row r="94" spans="1:31" ht="14" x14ac:dyDescent="0.3">
      <c r="A94" s="19"/>
      <c r="B94" s="19"/>
      <c r="C94" s="19" t="s">
        <v>159</v>
      </c>
      <c r="D94" s="20" t="s">
        <v>158</v>
      </c>
      <c r="E94" s="8">
        <f>Source!AU104</f>
        <v>10</v>
      </c>
      <c r="F94" s="22"/>
      <c r="G94" s="21"/>
      <c r="H94" s="8"/>
      <c r="I94" s="8"/>
      <c r="J94" s="22">
        <f>SUM(T89:T93)</f>
        <v>231354.15</v>
      </c>
      <c r="K94" s="22"/>
    </row>
    <row r="95" spans="1:31" ht="14" x14ac:dyDescent="0.3">
      <c r="A95" s="19"/>
      <c r="B95" s="19"/>
      <c r="C95" s="19" t="s">
        <v>164</v>
      </c>
      <c r="D95" s="20" t="s">
        <v>158</v>
      </c>
      <c r="E95" s="8">
        <f>108</f>
        <v>108</v>
      </c>
      <c r="F95" s="22"/>
      <c r="G95" s="21"/>
      <c r="H95" s="8"/>
      <c r="I95" s="8"/>
      <c r="J95" s="22">
        <f>SUM(V89:V94)</f>
        <v>5021243.59</v>
      </c>
      <c r="K95" s="22"/>
    </row>
    <row r="96" spans="1:31" ht="14" x14ac:dyDescent="0.3">
      <c r="A96" s="19"/>
      <c r="B96" s="19"/>
      <c r="C96" s="19" t="s">
        <v>160</v>
      </c>
      <c r="D96" s="20" t="s">
        <v>161</v>
      </c>
      <c r="E96" s="8">
        <f>Source!AQ104</f>
        <v>0.37</v>
      </c>
      <c r="F96" s="22"/>
      <c r="G96" s="21" t="str">
        <f>Source!DI104</f>
        <v/>
      </c>
      <c r="H96" s="8">
        <f>Source!AV104</f>
        <v>1</v>
      </c>
      <c r="I96" s="8"/>
      <c r="J96" s="22"/>
      <c r="K96" s="22">
        <f>Source!U104</f>
        <v>5871.5299999999988</v>
      </c>
    </row>
    <row r="97" spans="1:32" ht="14" x14ac:dyDescent="0.3">
      <c r="A97" s="25"/>
      <c r="B97" s="25"/>
      <c r="C97" s="25"/>
      <c r="D97" s="25"/>
      <c r="E97" s="25"/>
      <c r="F97" s="25"/>
      <c r="G97" s="25"/>
      <c r="H97" s="25"/>
      <c r="I97" s="48">
        <f>J90+J91+J93+J94+J95</f>
        <v>18492786.810000002</v>
      </c>
      <c r="J97" s="48"/>
      <c r="K97" s="26">
        <f>IF(Source!I104&lt;&gt;0, ROUND(I97/Source!I104, 2), 0)</f>
        <v>1165.3399999999999</v>
      </c>
      <c r="P97" s="24">
        <f>I97</f>
        <v>18492786.810000002</v>
      </c>
    </row>
    <row r="99" spans="1:32" ht="14" x14ac:dyDescent="0.3">
      <c r="A99" s="46" t="str">
        <f>CONCATENATE("Итого по разделу: ",IF(Source!G106&lt;&gt;"Новый раздел", Source!G106, ""))</f>
        <v>Итого по разделу: Скол сосулек с крыш и перемещение снега.</v>
      </c>
      <c r="B99" s="46"/>
      <c r="C99" s="46"/>
      <c r="D99" s="46"/>
      <c r="E99" s="46"/>
      <c r="F99" s="46"/>
      <c r="G99" s="46"/>
      <c r="H99" s="46"/>
      <c r="I99" s="44">
        <f>SUM(P81:P98)</f>
        <v>19398743.830000002</v>
      </c>
      <c r="J99" s="45"/>
      <c r="K99" s="28"/>
      <c r="AF99" s="29" t="str">
        <f>CONCATENATE("Итого по разделу: ",IF(Source!G106&lt;&gt;"Новый раздел", Source!G106, ""))</f>
        <v>Итого по разделу: Скол сосулек с крыш и перемещение снега.</v>
      </c>
    </row>
    <row r="102" spans="1:32" ht="14" x14ac:dyDescent="0.3">
      <c r="A102" s="46" t="s">
        <v>180</v>
      </c>
      <c r="B102" s="46"/>
      <c r="C102" s="46"/>
      <c r="D102" s="46"/>
      <c r="E102" s="46"/>
      <c r="F102" s="46"/>
      <c r="G102" s="46"/>
      <c r="H102" s="46"/>
      <c r="I102" s="44">
        <f>SUM(P32:P101)</f>
        <v>90160460.049999997</v>
      </c>
      <c r="J102" s="45"/>
      <c r="K102" s="28"/>
    </row>
    <row r="103" spans="1:32" hidden="1" x14ac:dyDescent="0.25"/>
    <row r="104" spans="1:32" ht="13.45" hidden="1" x14ac:dyDescent="0.25">
      <c r="C104" s="41" t="str">
        <f>Source!H165</f>
        <v>Итого</v>
      </c>
      <c r="D104" s="41"/>
      <c r="E104" s="41"/>
      <c r="F104" s="41"/>
      <c r="G104" s="41"/>
      <c r="H104" s="41"/>
      <c r="I104" s="42">
        <f>IF(Source!F165=0, "", Source!F165)</f>
        <v>90160460.049999997</v>
      </c>
      <c r="J104" s="42"/>
    </row>
    <row r="105" spans="1:32" ht="13.45" hidden="1" x14ac:dyDescent="0.25">
      <c r="C105" s="41" t="str">
        <f>Source!H166</f>
        <v>НДС 20%</v>
      </c>
      <c r="D105" s="41"/>
      <c r="E105" s="41"/>
      <c r="F105" s="41"/>
      <c r="G105" s="41"/>
      <c r="H105" s="41"/>
      <c r="I105" s="42">
        <f>IF(Source!F166=0, "", Source!F166)</f>
        <v>18032092.010000002</v>
      </c>
      <c r="J105" s="42"/>
    </row>
    <row r="106" spans="1:32" ht="13.45" hidden="1" x14ac:dyDescent="0.25">
      <c r="C106" s="41" t="str">
        <f>Source!H167</f>
        <v>Всего</v>
      </c>
      <c r="D106" s="41"/>
      <c r="E106" s="41"/>
      <c r="F106" s="41"/>
      <c r="G106" s="41"/>
      <c r="H106" s="41"/>
      <c r="I106" s="42">
        <f>IF(Source!F167=0, "", Source!F167)</f>
        <v>108192552.06</v>
      </c>
      <c r="J106" s="42"/>
    </row>
    <row r="108" spans="1:32" ht="14" x14ac:dyDescent="0.3">
      <c r="A108" s="46" t="str">
        <f>CONCATENATE("Итого по смете: ",IF(Source!G169&lt;&gt;"Новый объект", Source!G169, ""))</f>
        <v>Итого по смете: Оказание услуг по очистке кровли</v>
      </c>
      <c r="B108" s="46"/>
      <c r="C108" s="46"/>
      <c r="D108" s="46"/>
      <c r="E108" s="46"/>
      <c r="F108" s="46"/>
      <c r="G108" s="46"/>
      <c r="H108" s="46"/>
      <c r="I108" s="44">
        <f>SUM(P1:P107)</f>
        <v>90160460.049999997</v>
      </c>
      <c r="J108" s="45"/>
      <c r="K108" s="28"/>
    </row>
    <row r="109" spans="1:32" ht="13.45" x14ac:dyDescent="0.25">
      <c r="C109" s="41" t="str">
        <f>Source!H198</f>
        <v>НДС 20%</v>
      </c>
      <c r="D109" s="41"/>
      <c r="E109" s="41"/>
      <c r="F109" s="41"/>
      <c r="G109" s="41"/>
      <c r="H109" s="41"/>
      <c r="I109" s="42">
        <f>IF(Source!F198=0, "", Source!F198)</f>
        <v>18032092.010000002</v>
      </c>
      <c r="J109" s="42"/>
    </row>
    <row r="110" spans="1:32" ht="13.45" x14ac:dyDescent="0.25">
      <c r="C110" s="41" t="str">
        <f>Source!H199</f>
        <v>Итого с НДС</v>
      </c>
      <c r="D110" s="41"/>
      <c r="E110" s="41"/>
      <c r="F110" s="41"/>
      <c r="G110" s="41"/>
      <c r="H110" s="41"/>
      <c r="I110" s="42">
        <f>IF(Source!F199=0, "", Source!F199)</f>
        <v>108192552.06</v>
      </c>
      <c r="J110" s="42"/>
    </row>
  </sheetData>
  <mergeCells count="69">
    <mergeCell ref="G7:K7"/>
    <mergeCell ref="J2:K2"/>
    <mergeCell ref="A10:K10"/>
    <mergeCell ref="A11:K11"/>
    <mergeCell ref="A18:K18"/>
    <mergeCell ref="B3:E3"/>
    <mergeCell ref="G3:K3"/>
    <mergeCell ref="B4:E4"/>
    <mergeCell ref="G4:K4"/>
    <mergeCell ref="B6:E6"/>
    <mergeCell ref="G6:K6"/>
    <mergeCell ref="B7:E7"/>
    <mergeCell ref="F20:H20"/>
    <mergeCell ref="I20:J20"/>
    <mergeCell ref="A15:K15"/>
    <mergeCell ref="A16:K16"/>
    <mergeCell ref="A13:K13"/>
    <mergeCell ref="F22:H22"/>
    <mergeCell ref="I22:J22"/>
    <mergeCell ref="F21:H21"/>
    <mergeCell ref="I21:J21"/>
    <mergeCell ref="I23:J23"/>
    <mergeCell ref="F23:H23"/>
    <mergeCell ref="F24:H24"/>
    <mergeCell ref="I24:J24"/>
    <mergeCell ref="F25:H25"/>
    <mergeCell ref="I25:J25"/>
    <mergeCell ref="B27:B29"/>
    <mergeCell ref="C27:C29"/>
    <mergeCell ref="D27:D29"/>
    <mergeCell ref="E27:E29"/>
    <mergeCell ref="F27:F29"/>
    <mergeCell ref="G27:G29"/>
    <mergeCell ref="H27:H29"/>
    <mergeCell ref="I76:J76"/>
    <mergeCell ref="I27:I29"/>
    <mergeCell ref="J27:J29"/>
    <mergeCell ref="A32:K32"/>
    <mergeCell ref="A34:K34"/>
    <mergeCell ref="I41:J41"/>
    <mergeCell ref="I51:J51"/>
    <mergeCell ref="I58:J58"/>
    <mergeCell ref="I64:J64"/>
    <mergeCell ref="I66:J66"/>
    <mergeCell ref="A66:H66"/>
    <mergeCell ref="A69:K69"/>
    <mergeCell ref="A27:A29"/>
    <mergeCell ref="A78:H78"/>
    <mergeCell ref="A81:K81"/>
    <mergeCell ref="I88:J88"/>
    <mergeCell ref="I97:J97"/>
    <mergeCell ref="I99:J99"/>
    <mergeCell ref="A99:H99"/>
    <mergeCell ref="C110:H110"/>
    <mergeCell ref="I110:J110"/>
    <mergeCell ref="I1:K1"/>
    <mergeCell ref="C106:H106"/>
    <mergeCell ref="I106:J106"/>
    <mergeCell ref="I108:J108"/>
    <mergeCell ref="A108:H108"/>
    <mergeCell ref="C109:H109"/>
    <mergeCell ref="I109:J109"/>
    <mergeCell ref="I102:J102"/>
    <mergeCell ref="A102:H102"/>
    <mergeCell ref="C104:H104"/>
    <mergeCell ref="I104:J104"/>
    <mergeCell ref="C105:H105"/>
    <mergeCell ref="I105:J105"/>
    <mergeCell ref="I78:J78"/>
  </mergeCells>
  <pageMargins left="0.4" right="0.2" top="0.2" bottom="0.4" header="0.2" footer="0.2"/>
  <pageSetup paperSize="9" scale="60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25"/>
  <sheetViews>
    <sheetView zoomScaleNormal="100" workbookViewId="0">
      <selection activeCell="C1" sqref="C1"/>
    </sheetView>
  </sheetViews>
  <sheetFormatPr defaultRowHeight="12.9" x14ac:dyDescent="0.25"/>
  <cols>
    <col min="1" max="2" width="6.7265625" customWidth="1"/>
    <col min="3" max="3" width="75.7265625" customWidth="1"/>
    <col min="4" max="8" width="15.7265625" customWidth="1"/>
    <col min="30" max="31" width="0" hidden="1" customWidth="1"/>
    <col min="32" max="32" width="165.7265625" hidden="1" customWidth="1"/>
  </cols>
  <sheetData>
    <row r="1" spans="1:32" x14ac:dyDescent="0.25">
      <c r="A1" s="7" t="str">
        <f>Source!B1</f>
        <v>Smeta.RU Flash  (495) 974-1589</v>
      </c>
    </row>
    <row r="4" spans="1:32" ht="15.05" x14ac:dyDescent="0.25">
      <c r="B4" s="61" t="str">
        <f>CONCATENATE("Ведомость объемов работ ", IF(Source!AN15&lt;&gt;"", Source!AN15," "))</f>
        <v xml:space="preserve">Ведомость объемов работ  </v>
      </c>
      <c r="C4" s="61"/>
      <c r="D4" s="61"/>
      <c r="E4" s="61"/>
    </row>
    <row r="5" spans="1:32" ht="14" x14ac:dyDescent="0.25">
      <c r="B5" s="62" t="str">
        <f>Source!G12</f>
        <v>Оказание услуг по очистке кровли</v>
      </c>
      <c r="C5" s="62"/>
      <c r="D5" s="62"/>
      <c r="E5" s="62"/>
    </row>
    <row r="6" spans="1:32" hidden="1" x14ac:dyDescent="0.25"/>
    <row r="8" spans="1:32" ht="67.2" x14ac:dyDescent="0.25">
      <c r="A8" s="15" t="s">
        <v>165</v>
      </c>
      <c r="B8" s="15" t="s">
        <v>166</v>
      </c>
      <c r="C8" s="15" t="s">
        <v>144</v>
      </c>
      <c r="D8" s="15" t="s">
        <v>145</v>
      </c>
      <c r="E8" s="15" t="s">
        <v>167</v>
      </c>
      <c r="F8" s="15" t="s">
        <v>168</v>
      </c>
      <c r="G8" s="15" t="s">
        <v>169</v>
      </c>
      <c r="H8" s="15" t="s">
        <v>170</v>
      </c>
    </row>
    <row r="9" spans="1:32" ht="13.45" x14ac:dyDescent="0.2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</row>
    <row r="10" spans="1:32" ht="16.7" x14ac:dyDescent="0.35">
      <c r="A10" s="60" t="s">
        <v>181</v>
      </c>
      <c r="B10" s="60"/>
      <c r="C10" s="60"/>
      <c r="D10" s="60"/>
      <c r="E10" s="60"/>
      <c r="F10" s="60"/>
      <c r="G10" s="60"/>
      <c r="H10" s="60"/>
    </row>
    <row r="11" spans="1:32" ht="16.7" x14ac:dyDescent="0.35">
      <c r="A11" s="60" t="str">
        <f>CONCATENATE("Раздел: ", Source!G24)</f>
        <v>Раздел: Очистка снега с крыш с уборкой сброшенного снега</v>
      </c>
      <c r="B11" s="60"/>
      <c r="C11" s="60"/>
      <c r="D11" s="60"/>
      <c r="E11" s="60"/>
      <c r="F11" s="60"/>
      <c r="G11" s="60"/>
      <c r="H11" s="60"/>
      <c r="AF11" s="30" t="str">
        <f>CONCATENATE("Раздел: ", Source!G24)</f>
        <v>Раздел: Очистка снега с крыш с уборкой сброшенного снега</v>
      </c>
    </row>
    <row r="12" spans="1:32" ht="13.45" x14ac:dyDescent="0.25">
      <c r="A12" s="15">
        <v>1</v>
      </c>
      <c r="B12" s="15" t="str">
        <f>Source!E28</f>
        <v>1</v>
      </c>
      <c r="C12" s="33" t="str">
        <f>Source!G28</f>
        <v>Очистка снега с крыш при толщине слоя до 10 см</v>
      </c>
      <c r="D12" s="15" t="s">
        <v>15</v>
      </c>
      <c r="E12" s="34">
        <f>Source!I28</f>
        <v>566.75</v>
      </c>
      <c r="F12" s="15" t="str">
        <f>Source!U24</f>
        <v/>
      </c>
      <c r="G12" s="15" t="str">
        <f>"=(22091)/"&amp;"100"</f>
        <v>=(22091)/100</v>
      </c>
      <c r="H12" s="33"/>
    </row>
    <row r="13" spans="1:32" ht="26.9" x14ac:dyDescent="0.25">
      <c r="A13" s="15">
        <v>2</v>
      </c>
      <c r="B13" s="15" t="str">
        <f>Source!E29</f>
        <v>2</v>
      </c>
      <c r="C13" s="33" t="str">
        <f>Source!G29</f>
        <v>Очистка крыш от снега и наледи с использованием автовышек, при толщине слоя до 20 см</v>
      </c>
      <c r="D13" s="15" t="s">
        <v>15</v>
      </c>
      <c r="E13" s="34">
        <f>Source!I29</f>
        <v>709.18</v>
      </c>
      <c r="F13" s="15" t="str">
        <f>Source!U24</f>
        <v/>
      </c>
      <c r="G13" s="15" t="str">
        <f>"=(6200)/"&amp;"100"</f>
        <v>=(6200)/100</v>
      </c>
      <c r="H13" s="33"/>
    </row>
    <row r="14" spans="1:32" ht="13.45" x14ac:dyDescent="0.25">
      <c r="A14" s="15">
        <v>3</v>
      </c>
      <c r="B14" s="15" t="str">
        <f>Source!E30</f>
        <v>3</v>
      </c>
      <c r="C14" s="33" t="str">
        <f>Source!G30</f>
        <v>Уборка свежевыпавшего снега вручную толщиной слоя до 10 см (20%)</v>
      </c>
      <c r="D14" s="15" t="s">
        <v>15</v>
      </c>
      <c r="E14" s="34">
        <f>Source!I30</f>
        <v>255.18600000000001</v>
      </c>
      <c r="F14" s="15" t="str">
        <f>Source!U24</f>
        <v/>
      </c>
      <c r="G14" s="15" t="str">
        <f>"=(579)/"&amp;"100"</f>
        <v>=(579)/100</v>
      </c>
      <c r="H14" s="33"/>
    </row>
    <row r="15" spans="1:32" ht="13.45" x14ac:dyDescent="0.25">
      <c r="A15" s="15">
        <v>4</v>
      </c>
      <c r="B15" s="15" t="str">
        <f>Source!E31</f>
        <v>4</v>
      </c>
      <c r="C15" s="33" t="str">
        <f>Source!G31</f>
        <v>Уборка снега средствами малой механизации (80%)</v>
      </c>
      <c r="D15" s="15" t="s">
        <v>32</v>
      </c>
      <c r="E15" s="34">
        <f>Source!I31</f>
        <v>102.0744</v>
      </c>
      <c r="F15" s="15" t="str">
        <f>Source!U24</f>
        <v/>
      </c>
      <c r="G15" s="15" t="str">
        <f>"=(2316)/"&amp;"1000"</f>
        <v>=(2316)/1000</v>
      </c>
      <c r="H15" s="33"/>
    </row>
    <row r="16" spans="1:32" ht="16.7" x14ac:dyDescent="0.35">
      <c r="A16" s="60" t="str">
        <f>CONCATENATE("Раздел: ", Source!G63)</f>
        <v>Раздел: Осмотр и прочистка отливов водосточных труб. Водостоки 308 шт.</v>
      </c>
      <c r="B16" s="60"/>
      <c r="C16" s="60"/>
      <c r="D16" s="60"/>
      <c r="E16" s="60"/>
      <c r="F16" s="60"/>
      <c r="G16" s="60"/>
      <c r="H16" s="60"/>
      <c r="AF16" s="30" t="str">
        <f>CONCATENATE("Раздел: ", Source!G63)</f>
        <v>Раздел: Осмотр и прочистка отливов водосточных труб. Водостоки 308 шт.</v>
      </c>
    </row>
    <row r="17" spans="1:8" ht="13.45" x14ac:dyDescent="0.25">
      <c r="A17" s="15">
        <v>5</v>
      </c>
      <c r="B17" s="15" t="str">
        <f>Source!E67</f>
        <v>5</v>
      </c>
      <c r="C17" s="33" t="str">
        <f>Source!G67</f>
        <v>Осмотр и прочистка отливов водосточных труб от наледи и мусора</v>
      </c>
      <c r="D17" s="15" t="s">
        <v>91</v>
      </c>
      <c r="E17" s="34">
        <f>Source!I67</f>
        <v>30.8</v>
      </c>
      <c r="F17" s="15" t="str">
        <f>Source!U63</f>
        <v/>
      </c>
      <c r="G17" s="15" t="str">
        <f>"=(268)/"&amp;"10"</f>
        <v>=(268)/10</v>
      </c>
      <c r="H17" s="33"/>
    </row>
    <row r="18" spans="1:8" ht="16.7" x14ac:dyDescent="0.35">
      <c r="A18" s="60" t="str">
        <f>CONCATENATE("Раздел: ", Source!G99)</f>
        <v>Раздел: Скол сосулек с крыш и перемещение снега.</v>
      </c>
      <c r="B18" s="60"/>
      <c r="C18" s="60"/>
      <c r="D18" s="60"/>
      <c r="E18" s="60"/>
      <c r="F18" s="60"/>
      <c r="G18" s="60"/>
      <c r="H18" s="60"/>
    </row>
    <row r="19" spans="1:8" ht="13.45" x14ac:dyDescent="0.25">
      <c r="A19" s="15">
        <v>6</v>
      </c>
      <c r="B19" s="15" t="str">
        <f>Source!E103</f>
        <v>6</v>
      </c>
      <c r="C19" s="33" t="str">
        <f>Source!G103</f>
        <v>Скол сосулек с крыш</v>
      </c>
      <c r="D19" s="15" t="s">
        <v>96</v>
      </c>
      <c r="E19" s="34">
        <f>Source!I103</f>
        <v>36.96</v>
      </c>
      <c r="F19" s="15" t="str">
        <f>Source!U99</f>
        <v/>
      </c>
      <c r="G19" s="15" t="str">
        <f>"=(1930)/"&amp;"100"</f>
        <v>=(1930)/100</v>
      </c>
      <c r="H19" s="33"/>
    </row>
    <row r="20" spans="1:8" ht="26.9" x14ac:dyDescent="0.25">
      <c r="A20" s="17">
        <v>7</v>
      </c>
      <c r="B20" s="17" t="str">
        <f>Source!E104</f>
        <v>7</v>
      </c>
      <c r="C20" s="31" t="str">
        <f>Source!G104</f>
        <v>Сбор и перемещение снега и скола к месту временного размещения механизированным способом, объем ковша погрузчика до 0,5 м3 - перемещение на 250 м</v>
      </c>
      <c r="D20" s="17" t="s">
        <v>101</v>
      </c>
      <c r="E20" s="32">
        <f>Source!I104</f>
        <v>15868.999999999998</v>
      </c>
      <c r="F20" s="17" t="str">
        <f>Source!U99</f>
        <v/>
      </c>
      <c r="G20" s="17">
        <f>Source!I104</f>
        <v>15868.999999999998</v>
      </c>
      <c r="H20" s="31"/>
    </row>
    <row r="23" spans="1:8" ht="14" x14ac:dyDescent="0.3">
      <c r="C23" s="35" t="s">
        <v>171</v>
      </c>
      <c r="D23" s="35" t="str">
        <f>IF(Source!X12&lt;&gt;"", Source!X12," ")</f>
        <v xml:space="preserve"> </v>
      </c>
      <c r="E23" s="28"/>
    </row>
    <row r="24" spans="1:8" ht="14" x14ac:dyDescent="0.3">
      <c r="C24" s="9"/>
      <c r="D24" s="28"/>
      <c r="E24" s="28"/>
    </row>
    <row r="25" spans="1:8" ht="14" x14ac:dyDescent="0.3">
      <c r="C25" s="35" t="s">
        <v>172</v>
      </c>
      <c r="D25" s="35" t="str">
        <f>IF(Source!AB12&lt;&gt;"", Source!AB12," ")</f>
        <v xml:space="preserve"> </v>
      </c>
      <c r="E25" s="28"/>
    </row>
  </sheetData>
  <mergeCells count="6">
    <mergeCell ref="A18:H18"/>
    <mergeCell ref="B4:E4"/>
    <mergeCell ref="B5:E5"/>
    <mergeCell ref="A10:H10"/>
    <mergeCell ref="A11:H11"/>
    <mergeCell ref="A16:H16"/>
  </mergeCells>
  <pageMargins left="0.4" right="0.2" top="0.2" bottom="0.4" header="0.2" footer="0.2"/>
  <pageSetup paperSize="9" scale="59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208"/>
  <sheetViews>
    <sheetView topLeftCell="CP112" workbookViewId="0">
      <selection activeCell="DJ103" sqref="DD103:DJ103"/>
    </sheetView>
  </sheetViews>
  <sheetFormatPr defaultColWidth="9.1796875" defaultRowHeight="12.9" x14ac:dyDescent="0.25"/>
  <cols>
    <col min="1" max="28" width="9.1796875" customWidth="1"/>
    <col min="29" max="32" width="9.1796875" style="36" customWidth="1"/>
    <col min="33" max="33" width="9.1796875" customWidth="1"/>
    <col min="34" max="35" width="9.1796875" style="36" customWidth="1"/>
    <col min="36" max="95" width="9.1796875" customWidth="1"/>
    <col min="96" max="96" width="9.1796875" style="36" customWidth="1"/>
    <col min="97" max="256" width="9.17968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74398</v>
      </c>
      <c r="M1">
        <v>10</v>
      </c>
      <c r="N1">
        <v>11</v>
      </c>
      <c r="O1">
        <v>13</v>
      </c>
      <c r="P1">
        <v>0</v>
      </c>
      <c r="Q1">
        <v>1</v>
      </c>
    </row>
    <row r="12" spans="1:133" x14ac:dyDescent="0.25">
      <c r="A12" s="1">
        <v>1</v>
      </c>
      <c r="B12" s="1">
        <v>204</v>
      </c>
      <c r="C12" s="1">
        <v>0</v>
      </c>
      <c r="D12" s="1">
        <f>ROW(A169)</f>
        <v>169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37" t="s">
        <v>3</v>
      </c>
      <c r="AD12" s="37" t="s">
        <v>3</v>
      </c>
      <c r="AE12" s="37" t="s">
        <v>3</v>
      </c>
      <c r="AF12" s="37" t="s">
        <v>3</v>
      </c>
      <c r="AG12" s="1" t="s">
        <v>3</v>
      </c>
      <c r="AH12" s="37" t="s">
        <v>3</v>
      </c>
      <c r="AI12" s="37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10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37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5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37"/>
      <c r="AD15" s="37"/>
      <c r="AE15" s="37"/>
      <c r="AF15" s="37"/>
      <c r="AG15" s="1"/>
      <c r="AH15" s="37"/>
      <c r="AI15" s="37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37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5">
      <c r="A18" s="2">
        <v>52</v>
      </c>
      <c r="B18" s="2">
        <f t="shared" ref="B18:G18" si="0">B169</f>
        <v>204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Оказание услуг по очистке кровли</v>
      </c>
      <c r="H18" s="2"/>
      <c r="I18" s="2"/>
      <c r="J18" s="2"/>
      <c r="K18" s="2"/>
      <c r="L18" s="2"/>
      <c r="M18" s="2"/>
      <c r="N18" s="2"/>
      <c r="O18" s="2">
        <f t="shared" ref="O18:AT18" si="1">O169</f>
        <v>53590917.590000004</v>
      </c>
      <c r="P18" s="2">
        <f t="shared" si="1"/>
        <v>0</v>
      </c>
      <c r="Q18" s="2">
        <f t="shared" si="1"/>
        <v>26715928.809999999</v>
      </c>
      <c r="R18" s="2">
        <f t="shared" si="1"/>
        <v>13953288.35</v>
      </c>
      <c r="S18" s="2">
        <f t="shared" si="1"/>
        <v>26874988.780000001</v>
      </c>
      <c r="T18" s="2">
        <f t="shared" si="1"/>
        <v>0</v>
      </c>
      <c r="U18" s="2">
        <f t="shared" si="1"/>
        <v>63181.895599999989</v>
      </c>
      <c r="V18" s="2">
        <f t="shared" si="1"/>
        <v>0</v>
      </c>
      <c r="W18" s="2">
        <f t="shared" si="1"/>
        <v>0</v>
      </c>
      <c r="X18" s="2">
        <f t="shared" si="1"/>
        <v>18812492.16</v>
      </c>
      <c r="Y18" s="2">
        <f t="shared" si="1"/>
        <v>2687498.88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38">
        <f t="shared" si="1"/>
        <v>0</v>
      </c>
      <c r="AD18" s="38">
        <f t="shared" si="1"/>
        <v>0</v>
      </c>
      <c r="AE18" s="38">
        <f t="shared" si="1"/>
        <v>0</v>
      </c>
      <c r="AF18" s="38">
        <f t="shared" si="1"/>
        <v>0</v>
      </c>
      <c r="AG18" s="2">
        <f t="shared" si="1"/>
        <v>0</v>
      </c>
      <c r="AH18" s="38">
        <f t="shared" si="1"/>
        <v>0</v>
      </c>
      <c r="AI18" s="38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90160460.049999997</v>
      </c>
      <c r="AS18" s="2">
        <f t="shared" si="1"/>
        <v>0</v>
      </c>
      <c r="AT18" s="2">
        <f t="shared" si="1"/>
        <v>0</v>
      </c>
      <c r="AU18" s="2">
        <f t="shared" ref="AU18:BZ18" si="2">AU169</f>
        <v>90160460.049999997</v>
      </c>
      <c r="AV18" s="2">
        <f t="shared" si="2"/>
        <v>0</v>
      </c>
      <c r="AW18" s="2">
        <f t="shared" si="2"/>
        <v>0</v>
      </c>
      <c r="AX18" s="2">
        <f t="shared" si="2"/>
        <v>0</v>
      </c>
      <c r="AY18" s="2">
        <f t="shared" si="2"/>
        <v>0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CA169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38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DG169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EM169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FS169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5">
      <c r="A20" s="1">
        <v>3</v>
      </c>
      <c r="B20" s="1">
        <v>1</v>
      </c>
      <c r="C20" s="1"/>
      <c r="D20" s="1">
        <f>ROW(A136)</f>
        <v>136</v>
      </c>
      <c r="E20" s="1"/>
      <c r="F20" s="1" t="s">
        <v>3</v>
      </c>
      <c r="G20" s="1" t="s">
        <v>177</v>
      </c>
      <c r="H20" s="1" t="s">
        <v>3</v>
      </c>
      <c r="I20" s="1">
        <v>0</v>
      </c>
      <c r="J20" s="1" t="s">
        <v>3</v>
      </c>
      <c r="K20" s="1">
        <v>-1</v>
      </c>
      <c r="L20" s="1" t="s">
        <v>3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37" t="s">
        <v>3</v>
      </c>
      <c r="AD20" s="37" t="s">
        <v>3</v>
      </c>
      <c r="AE20" s="37" t="s">
        <v>3</v>
      </c>
      <c r="AF20" s="37" t="s">
        <v>3</v>
      </c>
      <c r="AG20" s="1" t="s">
        <v>3</v>
      </c>
      <c r="AH20" s="37"/>
      <c r="AI20" s="37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5">
      <c r="A22" s="2">
        <v>52</v>
      </c>
      <c r="B22" s="2">
        <f t="shared" ref="B22:G22" si="7">B136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Оказание услуг по очистке кровли (17.11.2025-31.03.2026)</v>
      </c>
      <c r="H22" s="2"/>
      <c r="I22" s="2"/>
      <c r="J22" s="2"/>
      <c r="K22" s="2"/>
      <c r="L22" s="2"/>
      <c r="M22" s="2"/>
      <c r="N22" s="2"/>
      <c r="O22" s="2">
        <f t="shared" ref="O22:AT22" si="8">O136</f>
        <v>53590917.590000004</v>
      </c>
      <c r="P22" s="2">
        <f t="shared" si="8"/>
        <v>0</v>
      </c>
      <c r="Q22" s="2">
        <f t="shared" si="8"/>
        <v>26715928.809999999</v>
      </c>
      <c r="R22" s="2">
        <f t="shared" si="8"/>
        <v>13953288.35</v>
      </c>
      <c r="S22" s="2">
        <f t="shared" si="8"/>
        <v>26874988.780000001</v>
      </c>
      <c r="T22" s="2">
        <f t="shared" si="8"/>
        <v>0</v>
      </c>
      <c r="U22" s="2">
        <f t="shared" si="8"/>
        <v>63181.895599999989</v>
      </c>
      <c r="V22" s="2">
        <f t="shared" si="8"/>
        <v>0</v>
      </c>
      <c r="W22" s="2">
        <f t="shared" si="8"/>
        <v>0</v>
      </c>
      <c r="X22" s="2">
        <f t="shared" si="8"/>
        <v>18812492.16</v>
      </c>
      <c r="Y22" s="2">
        <f t="shared" si="8"/>
        <v>2687498.88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38">
        <f t="shared" si="8"/>
        <v>0</v>
      </c>
      <c r="AD22" s="38">
        <f t="shared" si="8"/>
        <v>0</v>
      </c>
      <c r="AE22" s="38">
        <f t="shared" si="8"/>
        <v>0</v>
      </c>
      <c r="AF22" s="38">
        <f t="shared" si="8"/>
        <v>0</v>
      </c>
      <c r="AG22" s="2">
        <f t="shared" si="8"/>
        <v>0</v>
      </c>
      <c r="AH22" s="38">
        <f t="shared" si="8"/>
        <v>0</v>
      </c>
      <c r="AI22" s="38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90160460.049999997</v>
      </c>
      <c r="AS22" s="2">
        <f t="shared" si="8"/>
        <v>0</v>
      </c>
      <c r="AT22" s="2">
        <f t="shared" si="8"/>
        <v>0</v>
      </c>
      <c r="AU22" s="2">
        <f t="shared" ref="AU22:BZ22" si="9">AU136</f>
        <v>90160460.049999997</v>
      </c>
      <c r="AV22" s="2">
        <f t="shared" si="9"/>
        <v>0</v>
      </c>
      <c r="AW22" s="2">
        <f t="shared" si="9"/>
        <v>0</v>
      </c>
      <c r="AX22" s="2">
        <f t="shared" si="9"/>
        <v>0</v>
      </c>
      <c r="AY22" s="2">
        <f t="shared" si="9"/>
        <v>0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CA136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38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DG136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EM136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FS136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5">
      <c r="A24" s="1">
        <v>4</v>
      </c>
      <c r="B24" s="1">
        <v>1</v>
      </c>
      <c r="C24" s="1"/>
      <c r="D24" s="1">
        <f>ROW(A33)</f>
        <v>33</v>
      </c>
      <c r="E24" s="1"/>
      <c r="F24" s="1" t="s">
        <v>3</v>
      </c>
      <c r="G24" s="1" t="s">
        <v>174</v>
      </c>
      <c r="H24" s="1" t="s">
        <v>3</v>
      </c>
      <c r="I24" s="1">
        <v>0</v>
      </c>
      <c r="J24" s="1"/>
      <c r="K24" s="1">
        <v>-1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37" t="s">
        <v>3</v>
      </c>
      <c r="AD24" s="37" t="s">
        <v>3</v>
      </c>
      <c r="AE24" s="37" t="s">
        <v>3</v>
      </c>
      <c r="AF24" s="37" t="s">
        <v>3</v>
      </c>
      <c r="AG24" s="1" t="s">
        <v>3</v>
      </c>
      <c r="AH24" s="37"/>
      <c r="AI24" s="37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5">
      <c r="A26" s="2">
        <v>52</v>
      </c>
      <c r="B26" s="2">
        <f t="shared" ref="B26:G26" si="14">B33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/>
      </c>
      <c r="G26" s="2" t="str">
        <f t="shared" si="14"/>
        <v>Очистка снега с крыш с уборкой сброшенного снега</v>
      </c>
      <c r="H26" s="2"/>
      <c r="I26" s="2"/>
      <c r="J26" s="2"/>
      <c r="K26" s="2"/>
      <c r="L26" s="2"/>
      <c r="M26" s="2"/>
      <c r="N26" s="2"/>
      <c r="O26" s="2">
        <f t="shared" ref="O26:AT26" si="15">O33</f>
        <v>41353302.799999997</v>
      </c>
      <c r="P26" s="2">
        <f t="shared" si="15"/>
        <v>0</v>
      </c>
      <c r="Q26" s="2">
        <f t="shared" si="15"/>
        <v>17408760.309999999</v>
      </c>
      <c r="R26" s="2">
        <f t="shared" si="15"/>
        <v>9303988.7300000004</v>
      </c>
      <c r="S26" s="2">
        <f t="shared" si="15"/>
        <v>23944542.489999998</v>
      </c>
      <c r="T26" s="2">
        <f t="shared" si="15"/>
        <v>0</v>
      </c>
      <c r="U26" s="2">
        <f t="shared" si="15"/>
        <v>55744.739999999991</v>
      </c>
      <c r="V26" s="2">
        <f t="shared" si="15"/>
        <v>0</v>
      </c>
      <c r="W26" s="2">
        <f t="shared" si="15"/>
        <v>0</v>
      </c>
      <c r="X26" s="2">
        <f t="shared" si="15"/>
        <v>16761179.75</v>
      </c>
      <c r="Y26" s="2">
        <f t="shared" si="15"/>
        <v>2394454.25</v>
      </c>
      <c r="Z26" s="2">
        <f t="shared" si="15"/>
        <v>0</v>
      </c>
      <c r="AA26" s="2">
        <f t="shared" si="15"/>
        <v>0</v>
      </c>
      <c r="AB26" s="2">
        <f t="shared" si="15"/>
        <v>41353302.799999997</v>
      </c>
      <c r="AC26" s="38">
        <f t="shared" si="15"/>
        <v>0</v>
      </c>
      <c r="AD26" s="38">
        <f t="shared" si="15"/>
        <v>17408760.309999999</v>
      </c>
      <c r="AE26" s="38">
        <f t="shared" si="15"/>
        <v>9303988.7300000004</v>
      </c>
      <c r="AF26" s="38">
        <f t="shared" si="15"/>
        <v>23944542.489999998</v>
      </c>
      <c r="AG26" s="2">
        <f t="shared" si="15"/>
        <v>0</v>
      </c>
      <c r="AH26" s="38">
        <f t="shared" si="15"/>
        <v>55744.739999999991</v>
      </c>
      <c r="AI26" s="38">
        <f t="shared" si="15"/>
        <v>0</v>
      </c>
      <c r="AJ26" s="2">
        <f t="shared" si="15"/>
        <v>0</v>
      </c>
      <c r="AK26" s="2">
        <f t="shared" si="15"/>
        <v>16761179.75</v>
      </c>
      <c r="AL26" s="2">
        <f t="shared" si="15"/>
        <v>2394454.25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70557244.629999995</v>
      </c>
      <c r="AS26" s="2">
        <f t="shared" si="15"/>
        <v>0</v>
      </c>
      <c r="AT26" s="2">
        <f t="shared" si="15"/>
        <v>0</v>
      </c>
      <c r="AU26" s="2">
        <f t="shared" ref="AU26:BZ26" si="16">AU33</f>
        <v>70557244.629999995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CA33</f>
        <v>70557244.629999995</v>
      </c>
      <c r="CB26" s="2">
        <f t="shared" si="17"/>
        <v>0</v>
      </c>
      <c r="CC26" s="2">
        <f t="shared" si="17"/>
        <v>0</v>
      </c>
      <c r="CD26" s="2">
        <f t="shared" si="17"/>
        <v>70557244.629999995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38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5">
      <c r="A28">
        <v>17</v>
      </c>
      <c r="B28">
        <v>1</v>
      </c>
      <c r="C28">
        <f>ROW(SmtRes!A1)</f>
        <v>1</v>
      </c>
      <c r="D28">
        <f>ROW(EtalonRes!A1)</f>
        <v>1</v>
      </c>
      <c r="E28" t="s">
        <v>12</v>
      </c>
      <c r="F28" t="s">
        <v>13</v>
      </c>
      <c r="G28" t="s">
        <v>14</v>
      </c>
      <c r="H28" t="s">
        <v>15</v>
      </c>
      <c r="I28">
        <f>ROUND((56675)/100,9)</f>
        <v>566.75</v>
      </c>
      <c r="J28">
        <v>0</v>
      </c>
      <c r="K28">
        <f>ROUND((56675)/100,9)</f>
        <v>566.75</v>
      </c>
      <c r="O28">
        <f>ROUND(CP28,2)</f>
        <v>4966543.5999999996</v>
      </c>
      <c r="P28">
        <f>ROUND(CQ28*I28,2)</f>
        <v>0</v>
      </c>
      <c r="Q28">
        <f>ROUND(CR28*I28,2)</f>
        <v>0</v>
      </c>
      <c r="R28">
        <f>ROUND(CS28*I28,2)</f>
        <v>0</v>
      </c>
      <c r="S28">
        <f>ROUND(CT28*I28,2)</f>
        <v>4966543.5999999996</v>
      </c>
      <c r="T28">
        <f>ROUND(CU28*I28,2)</f>
        <v>0</v>
      </c>
      <c r="U28">
        <f>CV28*I28</f>
        <v>12604.519999999999</v>
      </c>
      <c r="V28">
        <f>CW28*I28</f>
        <v>0</v>
      </c>
      <c r="W28">
        <f>ROUND(CX28*I28,2)</f>
        <v>0</v>
      </c>
      <c r="X28">
        <f t="shared" ref="X28:Y31" si="21">ROUND(CY28,2)</f>
        <v>3476580.52</v>
      </c>
      <c r="Y28">
        <f t="shared" si="21"/>
        <v>496654.36</v>
      </c>
      <c r="AA28">
        <v>75447910</v>
      </c>
      <c r="AB28">
        <f>ROUND((AC28+AD28+AF28),6)</f>
        <v>8763.2000000000007</v>
      </c>
      <c r="AC28" s="36">
        <f>ROUND(((ES28*8)),6)</f>
        <v>0</v>
      </c>
      <c r="AD28" s="36">
        <f>ROUND(((((ET28*8))-((EU28*8)))+AE28),6)</f>
        <v>0</v>
      </c>
      <c r="AE28" s="36">
        <f t="shared" ref="AE28:AF31" si="22">ROUND(((EU28*8)),6)</f>
        <v>0</v>
      </c>
      <c r="AF28" s="36">
        <f t="shared" si="22"/>
        <v>8763.2000000000007</v>
      </c>
      <c r="AG28">
        <f>ROUND((AP28),6)</f>
        <v>0</v>
      </c>
      <c r="AH28" s="36">
        <f t="shared" ref="AH28:AI31" si="23">((EW28*8))</f>
        <v>22.24</v>
      </c>
      <c r="AI28" s="36">
        <f t="shared" si="23"/>
        <v>0</v>
      </c>
      <c r="AJ28">
        <f>(AS28)</f>
        <v>0</v>
      </c>
      <c r="AK28">
        <v>1095.4000000000001</v>
      </c>
      <c r="AL28">
        <v>0</v>
      </c>
      <c r="AM28">
        <v>0</v>
      </c>
      <c r="AN28">
        <v>0</v>
      </c>
      <c r="AO28">
        <v>1095.4000000000001</v>
      </c>
      <c r="AP28">
        <v>0</v>
      </c>
      <c r="AQ28">
        <v>2.78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16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(P28+Q28+S28)</f>
        <v>4966543.5999999996</v>
      </c>
      <c r="CQ28">
        <f>(AC28*BC28*AW28)</f>
        <v>0</v>
      </c>
      <c r="CR28" s="36">
        <f>(((((ET28*8))*BB28-((EU28*8))*BS28)+AE28*BS28)*AV28)</f>
        <v>0</v>
      </c>
      <c r="CS28">
        <f>(AE28*BS28*AV28)</f>
        <v>0</v>
      </c>
      <c r="CT28">
        <f>(AF28*BA28*AV28)</f>
        <v>8763.2000000000007</v>
      </c>
      <c r="CU28">
        <f>AG28</f>
        <v>0</v>
      </c>
      <c r="CV28">
        <f>(AH28*AV28)</f>
        <v>22.24</v>
      </c>
      <c r="CW28">
        <f t="shared" ref="CW28:CX31" si="24">AI28</f>
        <v>0</v>
      </c>
      <c r="CX28">
        <f t="shared" si="24"/>
        <v>0</v>
      </c>
      <c r="CY28">
        <f>((S28*BZ28)/100)</f>
        <v>3476580.52</v>
      </c>
      <c r="CZ28">
        <f>((S28*CA28)/100)</f>
        <v>496654.36</v>
      </c>
      <c r="DC28" t="s">
        <v>3</v>
      </c>
      <c r="DD28" t="s">
        <v>178</v>
      </c>
      <c r="DE28" t="s">
        <v>178</v>
      </c>
      <c r="DF28" t="s">
        <v>178</v>
      </c>
      <c r="DG28" t="s">
        <v>178</v>
      </c>
      <c r="DH28" t="s">
        <v>3</v>
      </c>
      <c r="DI28" t="s">
        <v>178</v>
      </c>
      <c r="DJ28" t="s">
        <v>178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1005</v>
      </c>
      <c r="DV28" t="s">
        <v>15</v>
      </c>
      <c r="DW28" t="s">
        <v>15</v>
      </c>
      <c r="DX28">
        <v>100</v>
      </c>
      <c r="DZ28" t="s">
        <v>3</v>
      </c>
      <c r="EA28" t="s">
        <v>3</v>
      </c>
      <c r="EB28" t="s">
        <v>3</v>
      </c>
      <c r="EC28" t="s">
        <v>3</v>
      </c>
      <c r="EE28">
        <v>75550794</v>
      </c>
      <c r="EF28">
        <v>1</v>
      </c>
      <c r="EG28" t="s">
        <v>18</v>
      </c>
      <c r="EH28">
        <v>0</v>
      </c>
      <c r="EI28" t="s">
        <v>3</v>
      </c>
      <c r="EJ28">
        <v>4</v>
      </c>
      <c r="EK28">
        <v>0</v>
      </c>
      <c r="EL28" t="s">
        <v>19</v>
      </c>
      <c r="EM28" t="s">
        <v>20</v>
      </c>
      <c r="EO28" t="s">
        <v>3</v>
      </c>
      <c r="EQ28">
        <v>0</v>
      </c>
      <c r="ER28">
        <v>1095.4000000000001</v>
      </c>
      <c r="ES28">
        <v>0</v>
      </c>
      <c r="ET28">
        <v>0</v>
      </c>
      <c r="EU28">
        <v>0</v>
      </c>
      <c r="EV28">
        <v>1095.4000000000001</v>
      </c>
      <c r="EW28">
        <v>2.78</v>
      </c>
      <c r="EX28">
        <v>0</v>
      </c>
      <c r="EY28">
        <v>0</v>
      </c>
      <c r="FQ28">
        <v>0</v>
      </c>
      <c r="FR28">
        <f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632017992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>ROUND(IF(AND(BH28=3,BI28=3,FS28&lt;&gt;0),P28,0),2)</f>
        <v>0</v>
      </c>
      <c r="GM28">
        <f>ROUND(O28+X28+Y28+GK28,2)+GX28</f>
        <v>8939778.4800000004</v>
      </c>
      <c r="GN28">
        <f>IF(OR(BI28=0,BI28=1),GM28-GX28,0)</f>
        <v>0</v>
      </c>
      <c r="GO28">
        <f>IF(BI28=2,GM28-GX28,0)</f>
        <v>0</v>
      </c>
      <c r="GP28">
        <f>IF(BI28=4,GM28-GX28,0)</f>
        <v>8939778.4800000004</v>
      </c>
      <c r="GR28">
        <v>0</v>
      </c>
      <c r="GS28">
        <v>3</v>
      </c>
      <c r="GT28">
        <v>0</v>
      </c>
      <c r="GU28" t="s">
        <v>3</v>
      </c>
      <c r="GV28">
        <f>ROUND((GT28),6)</f>
        <v>0</v>
      </c>
      <c r="GW28">
        <v>1</v>
      </c>
      <c r="GX28">
        <f>ROUND(HC28*I28,2)</f>
        <v>0</v>
      </c>
      <c r="HA28">
        <v>0</v>
      </c>
      <c r="HB28">
        <v>0</v>
      </c>
      <c r="HC28">
        <f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5">
      <c r="A29">
        <v>17</v>
      </c>
      <c r="B29">
        <v>1</v>
      </c>
      <c r="C29">
        <f>ROW(SmtRes!A4)</f>
        <v>4</v>
      </c>
      <c r="D29">
        <f>ROW(EtalonRes!A4)</f>
        <v>4</v>
      </c>
      <c r="E29" t="s">
        <v>21</v>
      </c>
      <c r="F29" t="s">
        <v>22</v>
      </c>
      <c r="G29" t="s">
        <v>23</v>
      </c>
      <c r="H29" t="s">
        <v>15</v>
      </c>
      <c r="I29">
        <f>ROUND((70918)/100,9)</f>
        <v>709.18</v>
      </c>
      <c r="J29">
        <v>0</v>
      </c>
      <c r="K29">
        <f>ROUND((70918)/100,9)</f>
        <v>709.18</v>
      </c>
      <c r="O29">
        <f>ROUND(CP29,2)</f>
        <v>34966602.149999999</v>
      </c>
      <c r="P29">
        <f>ROUND(CQ29*I29,2)</f>
        <v>0</v>
      </c>
      <c r="Q29">
        <f>ROUND(CR29*I29,2)</f>
        <v>16511469.17</v>
      </c>
      <c r="R29">
        <f>ROUND(CS29*I29,2)</f>
        <v>8998075.8399999999</v>
      </c>
      <c r="S29">
        <f>ROUND(CT29*I29,2)</f>
        <v>18455132.98</v>
      </c>
      <c r="T29">
        <f>ROUND(CU29*I29,2)</f>
        <v>0</v>
      </c>
      <c r="U29">
        <f>CV29*I29</f>
        <v>41813.252799999995</v>
      </c>
      <c r="V29">
        <f>CW29*I29</f>
        <v>0</v>
      </c>
      <c r="W29">
        <f>ROUND(CX29*I29,2)</f>
        <v>0</v>
      </c>
      <c r="X29">
        <f t="shared" si="21"/>
        <v>12918593.09</v>
      </c>
      <c r="Y29">
        <f t="shared" si="21"/>
        <v>1845513.3</v>
      </c>
      <c r="AA29">
        <v>75447910</v>
      </c>
      <c r="AB29">
        <f>ROUND((AC29+AD29+AF29),6)</f>
        <v>49305.68</v>
      </c>
      <c r="AC29" s="36">
        <f>ROUND(((ES29*8)),6)</f>
        <v>0</v>
      </c>
      <c r="AD29" s="36">
        <f>ROUND(((((ET29*8))-((EU29*8)))+AE29),6)</f>
        <v>23282.48</v>
      </c>
      <c r="AE29" s="36">
        <f t="shared" si="22"/>
        <v>12688</v>
      </c>
      <c r="AF29" s="36">
        <f t="shared" si="22"/>
        <v>26023.200000000001</v>
      </c>
      <c r="AG29">
        <f>ROUND((AP29),6)</f>
        <v>0</v>
      </c>
      <c r="AH29" s="36">
        <f t="shared" si="23"/>
        <v>58.96</v>
      </c>
      <c r="AI29" s="36">
        <f t="shared" si="23"/>
        <v>0</v>
      </c>
      <c r="AJ29">
        <f>(AS29)</f>
        <v>0</v>
      </c>
      <c r="AK29">
        <v>6163.21</v>
      </c>
      <c r="AL29">
        <v>0</v>
      </c>
      <c r="AM29">
        <v>2910.31</v>
      </c>
      <c r="AN29">
        <v>1586</v>
      </c>
      <c r="AO29">
        <v>3252.9</v>
      </c>
      <c r="AP29">
        <v>0</v>
      </c>
      <c r="AQ29">
        <v>7.37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24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(P29+Q29+S29)</f>
        <v>34966602.149999999</v>
      </c>
      <c r="CQ29">
        <f>(AC29*BC29*AW29)</f>
        <v>0</v>
      </c>
      <c r="CR29" s="36">
        <f>(((((ET29*8))*BB29-((EU29*8))*BS29)+AE29*BS29)*AV29)</f>
        <v>23282.48</v>
      </c>
      <c r="CS29">
        <f>(AE29*BS29*AV29)</f>
        <v>12688</v>
      </c>
      <c r="CT29">
        <f>(AF29*BA29*AV29)</f>
        <v>26023.200000000001</v>
      </c>
      <c r="CU29">
        <f>AG29</f>
        <v>0</v>
      </c>
      <c r="CV29">
        <f>(AH29*AV29)</f>
        <v>58.96</v>
      </c>
      <c r="CW29">
        <f t="shared" si="24"/>
        <v>0</v>
      </c>
      <c r="CX29">
        <f t="shared" si="24"/>
        <v>0</v>
      </c>
      <c r="CY29">
        <f>((S29*BZ29)/100)</f>
        <v>12918593.086000001</v>
      </c>
      <c r="CZ29">
        <f>((S29*CA29)/100)</f>
        <v>1845513.2980000002</v>
      </c>
      <c r="DC29" t="s">
        <v>3</v>
      </c>
      <c r="DD29" t="s">
        <v>178</v>
      </c>
      <c r="DE29" t="s">
        <v>178</v>
      </c>
      <c r="DF29" t="s">
        <v>178</v>
      </c>
      <c r="DG29" t="s">
        <v>178</v>
      </c>
      <c r="DH29" t="s">
        <v>3</v>
      </c>
      <c r="DI29" t="s">
        <v>178</v>
      </c>
      <c r="DJ29" t="s">
        <v>178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1005</v>
      </c>
      <c r="DV29" t="s">
        <v>15</v>
      </c>
      <c r="DW29" t="s">
        <v>15</v>
      </c>
      <c r="DX29">
        <v>100</v>
      </c>
      <c r="DZ29" t="s">
        <v>3</v>
      </c>
      <c r="EA29" t="s">
        <v>3</v>
      </c>
      <c r="EB29" t="s">
        <v>3</v>
      </c>
      <c r="EC29" t="s">
        <v>3</v>
      </c>
      <c r="EE29">
        <v>75550794</v>
      </c>
      <c r="EF29">
        <v>1</v>
      </c>
      <c r="EG29" t="s">
        <v>18</v>
      </c>
      <c r="EH29">
        <v>0</v>
      </c>
      <c r="EI29" t="s">
        <v>3</v>
      </c>
      <c r="EJ29">
        <v>4</v>
      </c>
      <c r="EK29">
        <v>0</v>
      </c>
      <c r="EL29" t="s">
        <v>19</v>
      </c>
      <c r="EM29" t="s">
        <v>20</v>
      </c>
      <c r="EO29" t="s">
        <v>3</v>
      </c>
      <c r="EQ29">
        <v>0</v>
      </c>
      <c r="ER29">
        <v>6163.21</v>
      </c>
      <c r="ES29">
        <v>0</v>
      </c>
      <c r="ET29">
        <v>2910.31</v>
      </c>
      <c r="EU29">
        <v>1586</v>
      </c>
      <c r="EV29">
        <v>3252.9</v>
      </c>
      <c r="EW29">
        <v>7.37</v>
      </c>
      <c r="EX29">
        <v>0</v>
      </c>
      <c r="EY29">
        <v>0</v>
      </c>
      <c r="FQ29">
        <v>0</v>
      </c>
      <c r="FR29">
        <f>ROUND(IF(BI29=3,GM29,0),2)</f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890919294</v>
      </c>
      <c r="GG29">
        <v>2</v>
      </c>
      <c r="GH29">
        <v>1</v>
      </c>
      <c r="GI29">
        <v>-2</v>
      </c>
      <c r="GJ29">
        <v>0</v>
      </c>
      <c r="GK29">
        <f>ROUND(R29*(R12)/100,2)</f>
        <v>9717921.9100000001</v>
      </c>
      <c r="GL29">
        <f>ROUND(IF(AND(BH29=3,BI29=3,FS29&lt;&gt;0),P29,0),2)</f>
        <v>0</v>
      </c>
      <c r="GM29">
        <f>ROUND(O29+X29+Y29+GK29,2)+GX29</f>
        <v>59448630.450000003</v>
      </c>
      <c r="GN29">
        <f>IF(OR(BI29=0,BI29=1),GM29-GX29,0)</f>
        <v>0</v>
      </c>
      <c r="GO29">
        <f>IF(BI29=2,GM29-GX29,0)</f>
        <v>0</v>
      </c>
      <c r="GP29">
        <f>IF(BI29=4,GM29-GX29,0)</f>
        <v>59448630.450000003</v>
      </c>
      <c r="GR29">
        <v>0</v>
      </c>
      <c r="GS29">
        <v>3</v>
      </c>
      <c r="GT29">
        <v>0</v>
      </c>
      <c r="GU29" t="s">
        <v>3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5">
      <c r="A30">
        <v>17</v>
      </c>
      <c r="B30">
        <v>1</v>
      </c>
      <c r="C30">
        <f>ROW(SmtRes!A5)</f>
        <v>5</v>
      </c>
      <c r="D30">
        <f>ROW(EtalonRes!A5)</f>
        <v>5</v>
      </c>
      <c r="E30" t="s">
        <v>25</v>
      </c>
      <c r="F30" t="s">
        <v>26</v>
      </c>
      <c r="G30" t="s">
        <v>27</v>
      </c>
      <c r="H30" t="s">
        <v>15</v>
      </c>
      <c r="I30">
        <f>ROUND(((56675+70918)*0.2)/100,9)</f>
        <v>255.18600000000001</v>
      </c>
      <c r="J30">
        <v>0</v>
      </c>
      <c r="K30">
        <f>ROUND(((56675+70918)*0.2)/100,9)</f>
        <v>255.18600000000001</v>
      </c>
      <c r="O30">
        <f>ROUND(CP30,2)</f>
        <v>522865.91</v>
      </c>
      <c r="P30">
        <f>ROUND(CQ30*I30,2)</f>
        <v>0</v>
      </c>
      <c r="Q30">
        <f>ROUND(CR30*I30,2)</f>
        <v>0</v>
      </c>
      <c r="R30">
        <f>ROUND(CS30*I30,2)</f>
        <v>0</v>
      </c>
      <c r="S30">
        <f>ROUND(CT30*I30,2)</f>
        <v>522865.91</v>
      </c>
      <c r="T30">
        <f>ROUND(CU30*I30,2)</f>
        <v>0</v>
      </c>
      <c r="U30">
        <f>CV30*I30</f>
        <v>1326.9672</v>
      </c>
      <c r="V30">
        <f>CW30*I30</f>
        <v>0</v>
      </c>
      <c r="W30">
        <f>ROUND(CX30*I30,2)</f>
        <v>0</v>
      </c>
      <c r="X30">
        <f t="shared" si="21"/>
        <v>366006.14</v>
      </c>
      <c r="Y30">
        <f t="shared" si="21"/>
        <v>52286.59</v>
      </c>
      <c r="AA30">
        <v>75447910</v>
      </c>
      <c r="AB30">
        <f>ROUND((AC30+AD30+AF30),6)</f>
        <v>2048.96</v>
      </c>
      <c r="AC30" s="36">
        <f>ROUND(((ES30*8)),6)</f>
        <v>0</v>
      </c>
      <c r="AD30" s="36">
        <f>ROUND(((((ET30*8))-((EU30*8)))+AE30),6)</f>
        <v>0</v>
      </c>
      <c r="AE30" s="36">
        <f t="shared" si="22"/>
        <v>0</v>
      </c>
      <c r="AF30" s="36">
        <f t="shared" si="22"/>
        <v>2048.96</v>
      </c>
      <c r="AG30">
        <f>ROUND((AP30),6)</f>
        <v>0</v>
      </c>
      <c r="AH30" s="36">
        <f t="shared" si="23"/>
        <v>5.2</v>
      </c>
      <c r="AI30" s="36">
        <f t="shared" si="23"/>
        <v>0</v>
      </c>
      <c r="AJ30">
        <f>(AS30)</f>
        <v>0</v>
      </c>
      <c r="AK30">
        <v>256.12</v>
      </c>
      <c r="AL30">
        <v>0</v>
      </c>
      <c r="AM30">
        <v>0</v>
      </c>
      <c r="AN30">
        <v>0</v>
      </c>
      <c r="AO30">
        <v>256.12</v>
      </c>
      <c r="AP30">
        <v>0</v>
      </c>
      <c r="AQ30">
        <v>0.65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28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>(P30+Q30+S30)</f>
        <v>522865.91</v>
      </c>
      <c r="CQ30">
        <f>(AC30*BC30*AW30)</f>
        <v>0</v>
      </c>
      <c r="CR30" s="36">
        <f>(((((ET30*8))*BB30-((EU30*8))*BS30)+AE30*BS30)*AV30)</f>
        <v>0</v>
      </c>
      <c r="CS30">
        <f>(AE30*BS30*AV30)</f>
        <v>0</v>
      </c>
      <c r="CT30">
        <f>(AF30*BA30*AV30)</f>
        <v>2048.96</v>
      </c>
      <c r="CU30">
        <f>AG30</f>
        <v>0</v>
      </c>
      <c r="CV30">
        <f>(AH30*AV30)</f>
        <v>5.2</v>
      </c>
      <c r="CW30">
        <f t="shared" si="24"/>
        <v>0</v>
      </c>
      <c r="CX30">
        <f t="shared" si="24"/>
        <v>0</v>
      </c>
      <c r="CY30">
        <f>((S30*BZ30)/100)</f>
        <v>366006.13699999993</v>
      </c>
      <c r="CZ30">
        <f>((S30*CA30)/100)</f>
        <v>52286.590999999993</v>
      </c>
      <c r="DC30" t="s">
        <v>3</v>
      </c>
      <c r="DD30" t="s">
        <v>178</v>
      </c>
      <c r="DE30" t="s">
        <v>178</v>
      </c>
      <c r="DF30" t="s">
        <v>178</v>
      </c>
      <c r="DG30" t="s">
        <v>178</v>
      </c>
      <c r="DH30" t="s">
        <v>3</v>
      </c>
      <c r="DI30" t="s">
        <v>178</v>
      </c>
      <c r="DJ30" t="s">
        <v>178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15</v>
      </c>
      <c r="DW30" t="s">
        <v>15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75550794</v>
      </c>
      <c r="EF30">
        <v>1</v>
      </c>
      <c r="EG30" t="s">
        <v>18</v>
      </c>
      <c r="EH30">
        <v>0</v>
      </c>
      <c r="EI30" t="s">
        <v>3</v>
      </c>
      <c r="EJ30">
        <v>4</v>
      </c>
      <c r="EK30">
        <v>0</v>
      </c>
      <c r="EL30" t="s">
        <v>19</v>
      </c>
      <c r="EM30" t="s">
        <v>20</v>
      </c>
      <c r="EO30" t="s">
        <v>3</v>
      </c>
      <c r="EQ30">
        <v>0</v>
      </c>
      <c r="ER30">
        <v>256.12</v>
      </c>
      <c r="ES30">
        <v>0</v>
      </c>
      <c r="ET30">
        <v>0</v>
      </c>
      <c r="EU30">
        <v>0</v>
      </c>
      <c r="EV30">
        <v>256.12</v>
      </c>
      <c r="EW30">
        <v>0.65</v>
      </c>
      <c r="EX30">
        <v>0</v>
      </c>
      <c r="EY30">
        <v>0</v>
      </c>
      <c r="FQ30">
        <v>0</v>
      </c>
      <c r="FR30">
        <f>ROUND(IF(BI30=3,GM30,0),2)</f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2129740222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>ROUND(IF(AND(BH30=3,BI30=3,FS30&lt;&gt;0),P30,0),2)</f>
        <v>0</v>
      </c>
      <c r="GM30">
        <f>ROUND(O30+X30+Y30+GK30,2)+GX30</f>
        <v>941158.64</v>
      </c>
      <c r="GN30">
        <f>IF(OR(BI30=0,BI30=1),GM30-GX30,0)</f>
        <v>0</v>
      </c>
      <c r="GO30">
        <f>IF(BI30=2,GM30-GX30,0)</f>
        <v>0</v>
      </c>
      <c r="GP30">
        <f>IF(BI30=4,GM30-GX30,0)</f>
        <v>941158.64</v>
      </c>
      <c r="GR30">
        <v>0</v>
      </c>
      <c r="GS30">
        <v>3</v>
      </c>
      <c r="GT30">
        <v>0</v>
      </c>
      <c r="GU30" t="s">
        <v>3</v>
      </c>
      <c r="GV30">
        <f>ROUND((GT30),6)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5">
      <c r="A31">
        <v>17</v>
      </c>
      <c r="B31">
        <v>1</v>
      </c>
      <c r="C31">
        <f>ROW(SmtRes!A6)</f>
        <v>6</v>
      </c>
      <c r="D31">
        <f>ROW(EtalonRes!A6)</f>
        <v>6</v>
      </c>
      <c r="E31" t="s">
        <v>29</v>
      </c>
      <c r="F31" t="s">
        <v>30</v>
      </c>
      <c r="G31" t="s">
        <v>31</v>
      </c>
      <c r="H31" t="s">
        <v>32</v>
      </c>
      <c r="I31">
        <f>ROUND(((56675+70918)*0.8)/1000,9)</f>
        <v>102.0744</v>
      </c>
      <c r="J31">
        <v>0</v>
      </c>
      <c r="K31">
        <f>ROUND(((56675+70918)*0.8)/1000,9)</f>
        <v>102.0744</v>
      </c>
      <c r="O31">
        <f>ROUND(CP31,2)</f>
        <v>897291.14</v>
      </c>
      <c r="P31">
        <f>ROUND(CQ31*I31,2)</f>
        <v>0</v>
      </c>
      <c r="Q31">
        <f>ROUND(CR31*I31,2)</f>
        <v>897291.14</v>
      </c>
      <c r="R31">
        <f>ROUND(CS31*I31,2)</f>
        <v>305912.89</v>
      </c>
      <c r="S31">
        <f>ROUND(CT31*I31,2)</f>
        <v>0</v>
      </c>
      <c r="T31">
        <f>ROUND(CU31*I31,2)</f>
        <v>0</v>
      </c>
      <c r="U31">
        <f>CV31*I31</f>
        <v>0</v>
      </c>
      <c r="V31">
        <f>CW31*I31</f>
        <v>0</v>
      </c>
      <c r="W31">
        <f>ROUND(CX31*I31,2)</f>
        <v>0</v>
      </c>
      <c r="X31">
        <f t="shared" si="21"/>
        <v>0</v>
      </c>
      <c r="Y31">
        <f t="shared" si="21"/>
        <v>0</v>
      </c>
      <c r="AA31">
        <v>75447910</v>
      </c>
      <c r="AB31">
        <f>ROUND((AC31+AD31+AF31),6)</f>
        <v>8790.56</v>
      </c>
      <c r="AC31" s="36">
        <f>ROUND(((ES31*8)),6)</f>
        <v>0</v>
      </c>
      <c r="AD31" s="36">
        <f>ROUND(((((ET31*8))-((EU31*8)))+AE31),6)</f>
        <v>8790.56</v>
      </c>
      <c r="AE31" s="36">
        <f t="shared" si="22"/>
        <v>2996.96</v>
      </c>
      <c r="AF31" s="36">
        <f t="shared" si="22"/>
        <v>0</v>
      </c>
      <c r="AG31">
        <f>ROUND((AP31),6)</f>
        <v>0</v>
      </c>
      <c r="AH31" s="36">
        <f t="shared" si="23"/>
        <v>0</v>
      </c>
      <c r="AI31" s="36">
        <f t="shared" si="23"/>
        <v>0</v>
      </c>
      <c r="AJ31">
        <f>(AS31)</f>
        <v>0</v>
      </c>
      <c r="AK31">
        <v>1098.82</v>
      </c>
      <c r="AL31">
        <v>0</v>
      </c>
      <c r="AM31">
        <v>1098.82</v>
      </c>
      <c r="AN31">
        <v>374.62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33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(P31+Q31+S31)</f>
        <v>897291.14</v>
      </c>
      <c r="CQ31">
        <f>(AC31*BC31*AW31)</f>
        <v>0</v>
      </c>
      <c r="CR31" s="36">
        <f>(((((ET31*8))*BB31-((EU31*8))*BS31)+AE31*BS31)*AV31)</f>
        <v>8790.56</v>
      </c>
      <c r="CS31">
        <f>(AE31*BS31*AV31)</f>
        <v>2996.96</v>
      </c>
      <c r="CT31">
        <f>(AF31*BA31*AV31)</f>
        <v>0</v>
      </c>
      <c r="CU31">
        <f>AG31</f>
        <v>0</v>
      </c>
      <c r="CV31">
        <f>(AH31*AV31)</f>
        <v>0</v>
      </c>
      <c r="CW31">
        <f t="shared" si="24"/>
        <v>0</v>
      </c>
      <c r="CX31">
        <f t="shared" si="24"/>
        <v>0</v>
      </c>
      <c r="CY31">
        <f>((S31*BZ31)/100)</f>
        <v>0</v>
      </c>
      <c r="CZ31">
        <f>((S31*CA31)/100)</f>
        <v>0</v>
      </c>
      <c r="DC31" t="s">
        <v>3</v>
      </c>
      <c r="DD31" t="s">
        <v>178</v>
      </c>
      <c r="DE31" t="s">
        <v>178</v>
      </c>
      <c r="DF31" t="s">
        <v>178</v>
      </c>
      <c r="DG31" t="s">
        <v>178</v>
      </c>
      <c r="DH31" t="s">
        <v>3</v>
      </c>
      <c r="DI31" t="s">
        <v>178</v>
      </c>
      <c r="DJ31" t="s">
        <v>178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1005</v>
      </c>
      <c r="DV31" t="s">
        <v>32</v>
      </c>
      <c r="DW31" t="s">
        <v>32</v>
      </c>
      <c r="DX31">
        <v>1000</v>
      </c>
      <c r="DZ31" t="s">
        <v>3</v>
      </c>
      <c r="EA31" t="s">
        <v>3</v>
      </c>
      <c r="EB31" t="s">
        <v>3</v>
      </c>
      <c r="EC31" t="s">
        <v>3</v>
      </c>
      <c r="EE31">
        <v>75550794</v>
      </c>
      <c r="EF31">
        <v>1</v>
      </c>
      <c r="EG31" t="s">
        <v>18</v>
      </c>
      <c r="EH31">
        <v>0</v>
      </c>
      <c r="EI31" t="s">
        <v>3</v>
      </c>
      <c r="EJ31">
        <v>4</v>
      </c>
      <c r="EK31">
        <v>0</v>
      </c>
      <c r="EL31" t="s">
        <v>19</v>
      </c>
      <c r="EM31" t="s">
        <v>20</v>
      </c>
      <c r="EO31" t="s">
        <v>3</v>
      </c>
      <c r="EQ31">
        <v>0</v>
      </c>
      <c r="ER31">
        <v>1098.82</v>
      </c>
      <c r="ES31">
        <v>0</v>
      </c>
      <c r="ET31">
        <v>1098.82</v>
      </c>
      <c r="EU31">
        <v>374.62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>ROUND(IF(BI31=3,GM31,0),2)</f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380178869</v>
      </c>
      <c r="GG31">
        <v>2</v>
      </c>
      <c r="GH31">
        <v>1</v>
      </c>
      <c r="GI31">
        <v>-2</v>
      </c>
      <c r="GJ31">
        <v>0</v>
      </c>
      <c r="GK31">
        <f>ROUND(R31*(R12)/100,2)</f>
        <v>330385.91999999998</v>
      </c>
      <c r="GL31">
        <f>ROUND(IF(AND(BH31=3,BI31=3,FS31&lt;&gt;0),P31,0),2)</f>
        <v>0</v>
      </c>
      <c r="GM31">
        <f>ROUND(O31+X31+Y31+GK31,2)+GX31</f>
        <v>1227677.06</v>
      </c>
      <c r="GN31">
        <f>IF(OR(BI31=0,BI31=1),GM31-GX31,0)</f>
        <v>0</v>
      </c>
      <c r="GO31">
        <f>IF(BI31=2,GM31-GX31,0)</f>
        <v>0</v>
      </c>
      <c r="GP31">
        <f>IF(BI31=4,GM31-GX31,0)</f>
        <v>1227677.06</v>
      </c>
      <c r="GR31">
        <v>0</v>
      </c>
      <c r="GS31">
        <v>3</v>
      </c>
      <c r="GT31">
        <v>0</v>
      </c>
      <c r="GU31" t="s">
        <v>3</v>
      </c>
      <c r="GV31">
        <f>ROUND((GT31),6)</f>
        <v>0</v>
      </c>
      <c r="GW31">
        <v>1</v>
      </c>
      <c r="GX31">
        <f>ROUND(HC31*I31,2)</f>
        <v>0</v>
      </c>
      <c r="HA31">
        <v>0</v>
      </c>
      <c r="HB31">
        <v>0</v>
      </c>
      <c r="HC31">
        <f>GV31*GW31</f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3" spans="1:206" x14ac:dyDescent="0.25">
      <c r="A33" s="2">
        <v>51</v>
      </c>
      <c r="B33" s="2">
        <f>B24</f>
        <v>1</v>
      </c>
      <c r="C33" s="2">
        <f>A24</f>
        <v>4</v>
      </c>
      <c r="D33" s="2">
        <f>ROW(A24)</f>
        <v>24</v>
      </c>
      <c r="E33" s="2"/>
      <c r="F33" s="2" t="str">
        <f>IF(F24&lt;&gt;"",F24,"")</f>
        <v/>
      </c>
      <c r="G33" s="2" t="str">
        <f>IF(G24&lt;&gt;"",G24,"")</f>
        <v>Очистка снега с крыш с уборкой сброшенного снега</v>
      </c>
      <c r="H33" s="2">
        <v>0</v>
      </c>
      <c r="I33" s="2"/>
      <c r="J33" s="2"/>
      <c r="K33" s="2"/>
      <c r="L33" s="2"/>
      <c r="M33" s="2"/>
      <c r="N33" s="2"/>
      <c r="O33" s="2">
        <f t="shared" ref="O33:T33" si="25">ROUND(AB33,2)</f>
        <v>41353302.799999997</v>
      </c>
      <c r="P33" s="2">
        <f t="shared" si="25"/>
        <v>0</v>
      </c>
      <c r="Q33" s="2">
        <f t="shared" si="25"/>
        <v>17408760.309999999</v>
      </c>
      <c r="R33" s="2">
        <f t="shared" si="25"/>
        <v>9303988.7300000004</v>
      </c>
      <c r="S33" s="2">
        <f t="shared" si="25"/>
        <v>23944542.489999998</v>
      </c>
      <c r="T33" s="2">
        <f t="shared" si="25"/>
        <v>0</v>
      </c>
      <c r="U33" s="2">
        <f>AH33</f>
        <v>55744.739999999991</v>
      </c>
      <c r="V33" s="2">
        <f>AI33</f>
        <v>0</v>
      </c>
      <c r="W33" s="2">
        <f>ROUND(AJ33,2)</f>
        <v>0</v>
      </c>
      <c r="X33" s="2">
        <f>ROUND(AK33,2)</f>
        <v>16761179.75</v>
      </c>
      <c r="Y33" s="2">
        <f>ROUND(AL33,2)</f>
        <v>2394454.25</v>
      </c>
      <c r="Z33" s="2"/>
      <c r="AA33" s="2"/>
      <c r="AB33" s="2">
        <f>ROUND(SUMIF(AA28:AA31,"=75447910",O28:O31),2)</f>
        <v>41353302.799999997</v>
      </c>
      <c r="AC33" s="38">
        <f>ROUND(SUMIF(AA28:AA31,"=75447910",P28:P31),2)</f>
        <v>0</v>
      </c>
      <c r="AD33" s="38">
        <f>ROUND(SUMIF(AA28:AA31,"=75447910",Q28:Q31),2)</f>
        <v>17408760.309999999</v>
      </c>
      <c r="AE33" s="38">
        <f>ROUND(SUMIF(AA28:AA31,"=75447910",R28:R31),2)</f>
        <v>9303988.7300000004</v>
      </c>
      <c r="AF33" s="38">
        <f>ROUND(SUMIF(AA28:AA31,"=75447910",S28:S31),2)</f>
        <v>23944542.489999998</v>
      </c>
      <c r="AG33" s="2">
        <f>ROUND(SUMIF(AA28:AA31,"=75447910",T28:T31),2)</f>
        <v>0</v>
      </c>
      <c r="AH33" s="38">
        <f>SUMIF(AA28:AA31,"=75447910",U28:U31)</f>
        <v>55744.739999999991</v>
      </c>
      <c r="AI33" s="38">
        <f>SUMIF(AA28:AA31,"=75447910",V28:V31)</f>
        <v>0</v>
      </c>
      <c r="AJ33" s="2">
        <f>ROUND(SUMIF(AA28:AA31,"=75447910",W28:W31),2)</f>
        <v>0</v>
      </c>
      <c r="AK33" s="2">
        <f>ROUND(SUMIF(AA28:AA31,"=75447910",X28:X31),2)</f>
        <v>16761179.75</v>
      </c>
      <c r="AL33" s="2">
        <f>ROUND(SUMIF(AA28:AA31,"=75447910",Y28:Y31),2)</f>
        <v>2394454.25</v>
      </c>
      <c r="AM33" s="2"/>
      <c r="AN33" s="2"/>
      <c r="AO33" s="2">
        <f t="shared" ref="AO33:BD33" si="26">ROUND(BX33,2)</f>
        <v>0</v>
      </c>
      <c r="AP33" s="2">
        <f t="shared" si="26"/>
        <v>0</v>
      </c>
      <c r="AQ33" s="2">
        <f t="shared" si="26"/>
        <v>0</v>
      </c>
      <c r="AR33" s="2">
        <f t="shared" si="26"/>
        <v>70557244.629999995</v>
      </c>
      <c r="AS33" s="2">
        <f t="shared" si="26"/>
        <v>0</v>
      </c>
      <c r="AT33" s="2">
        <f t="shared" si="26"/>
        <v>0</v>
      </c>
      <c r="AU33" s="2">
        <f t="shared" si="26"/>
        <v>70557244.629999995</v>
      </c>
      <c r="AV33" s="2">
        <f t="shared" si="26"/>
        <v>0</v>
      </c>
      <c r="AW33" s="2">
        <f t="shared" si="26"/>
        <v>0</v>
      </c>
      <c r="AX33" s="2">
        <f t="shared" si="26"/>
        <v>0</v>
      </c>
      <c r="AY33" s="2">
        <f t="shared" si="26"/>
        <v>0</v>
      </c>
      <c r="AZ33" s="2">
        <f t="shared" si="26"/>
        <v>0</v>
      </c>
      <c r="BA33" s="2">
        <f t="shared" si="26"/>
        <v>0</v>
      </c>
      <c r="BB33" s="2">
        <f t="shared" si="26"/>
        <v>0</v>
      </c>
      <c r="BC33" s="2">
        <f t="shared" si="26"/>
        <v>0</v>
      </c>
      <c r="BD33" s="2">
        <f t="shared" si="26"/>
        <v>0</v>
      </c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>
        <f>ROUND(SUMIF(AA28:AA31,"=75447910",FQ28:FQ31),2)</f>
        <v>0</v>
      </c>
      <c r="BY33" s="2">
        <f>ROUND(SUMIF(AA28:AA31,"=75447910",FR28:FR31),2)</f>
        <v>0</v>
      </c>
      <c r="BZ33" s="2">
        <f>ROUND(SUMIF(AA28:AA31,"=75447910",GL28:GL31),2)</f>
        <v>0</v>
      </c>
      <c r="CA33" s="2">
        <f>ROUND(SUMIF(AA28:AA31,"=75447910",GM28:GM31),2)</f>
        <v>70557244.629999995</v>
      </c>
      <c r="CB33" s="2">
        <f>ROUND(SUMIF(AA28:AA31,"=75447910",GN28:GN31),2)</f>
        <v>0</v>
      </c>
      <c r="CC33" s="2">
        <f>ROUND(SUMIF(AA28:AA31,"=75447910",GO28:GO31),2)</f>
        <v>0</v>
      </c>
      <c r="CD33" s="2">
        <f>ROUND(SUMIF(AA28:AA31,"=75447910",GP28:GP31),2)</f>
        <v>70557244.629999995</v>
      </c>
      <c r="CE33" s="2">
        <f>AC33-BX33</f>
        <v>0</v>
      </c>
      <c r="CF33" s="2">
        <f>AC33-BY33</f>
        <v>0</v>
      </c>
      <c r="CG33" s="2">
        <f>BX33-BZ33</f>
        <v>0</v>
      </c>
      <c r="CH33" s="2">
        <f>AC33-BX33-BY33+BZ33</f>
        <v>0</v>
      </c>
      <c r="CI33" s="2">
        <f>BY33-BZ33</f>
        <v>0</v>
      </c>
      <c r="CJ33" s="2">
        <f>ROUND(SUMIF(AA28:AA31,"=75447910",GX28:GX31),2)</f>
        <v>0</v>
      </c>
      <c r="CK33" s="2">
        <f>ROUND(SUMIF(AA28:AA31,"=75447910",GY28:GY31),2)</f>
        <v>0</v>
      </c>
      <c r="CL33" s="2">
        <f>ROUND(SUMIF(AA28:AA31,"=75447910",GZ28:GZ31),2)</f>
        <v>0</v>
      </c>
      <c r="CM33" s="2">
        <f>ROUND(SUMIF(AA28:AA31,"=75447910",HD28:HD31),2)</f>
        <v>0</v>
      </c>
      <c r="CN33" s="2"/>
      <c r="CO33" s="2"/>
      <c r="CP33" s="2"/>
      <c r="CQ33" s="2"/>
      <c r="CR33" s="38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>
        <v>0</v>
      </c>
    </row>
    <row r="35" spans="1:206" x14ac:dyDescent="0.25">
      <c r="A35" s="4">
        <v>50</v>
      </c>
      <c r="B35" s="4">
        <v>0</v>
      </c>
      <c r="C35" s="4">
        <v>0</v>
      </c>
      <c r="D35" s="4">
        <v>1</v>
      </c>
      <c r="E35" s="4">
        <v>201</v>
      </c>
      <c r="F35" s="4">
        <f>ROUND(Source!O33,O35)</f>
        <v>41353302.799999997</v>
      </c>
      <c r="G35" s="4" t="s">
        <v>34</v>
      </c>
      <c r="H35" s="4" t="s">
        <v>35</v>
      </c>
      <c r="I35" s="4"/>
      <c r="J35" s="4"/>
      <c r="K35" s="4">
        <v>201</v>
      </c>
      <c r="L35" s="4">
        <v>1</v>
      </c>
      <c r="M35" s="4">
        <v>3</v>
      </c>
      <c r="N35" s="4" t="s">
        <v>3</v>
      </c>
      <c r="O35" s="4">
        <v>2</v>
      </c>
      <c r="P35" s="4"/>
      <c r="Q35" s="4"/>
      <c r="R35" s="4"/>
      <c r="S35" s="4"/>
      <c r="T35" s="4"/>
      <c r="U35" s="4"/>
      <c r="V35" s="4"/>
      <c r="W35" s="4">
        <v>3140658.18</v>
      </c>
      <c r="X35" s="4">
        <v>1</v>
      </c>
      <c r="Y35" s="4">
        <v>3140658.18</v>
      </c>
      <c r="Z35" s="4"/>
      <c r="AA35" s="4"/>
      <c r="AB35" s="4"/>
    </row>
    <row r="36" spans="1:206" x14ac:dyDescent="0.25">
      <c r="A36" s="4">
        <v>50</v>
      </c>
      <c r="B36" s="4">
        <v>0</v>
      </c>
      <c r="C36" s="4">
        <v>0</v>
      </c>
      <c r="D36" s="4">
        <v>1</v>
      </c>
      <c r="E36" s="4">
        <v>202</v>
      </c>
      <c r="F36" s="4">
        <f>ROUND(Source!P33,O36)</f>
        <v>0</v>
      </c>
      <c r="G36" s="4" t="s">
        <v>36</v>
      </c>
      <c r="H36" s="4" t="s">
        <v>37</v>
      </c>
      <c r="I36" s="4"/>
      <c r="J36" s="4"/>
      <c r="K36" s="4">
        <v>202</v>
      </c>
      <c r="L36" s="4">
        <v>2</v>
      </c>
      <c r="M36" s="4">
        <v>3</v>
      </c>
      <c r="N36" s="4" t="s">
        <v>3</v>
      </c>
      <c r="O36" s="4">
        <v>2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06" x14ac:dyDescent="0.25">
      <c r="A37" s="4">
        <v>50</v>
      </c>
      <c r="B37" s="4">
        <v>0</v>
      </c>
      <c r="C37" s="4">
        <v>0</v>
      </c>
      <c r="D37" s="4">
        <v>1</v>
      </c>
      <c r="E37" s="4">
        <v>222</v>
      </c>
      <c r="F37" s="4">
        <f>ROUND(Source!AO33,O37)</f>
        <v>0</v>
      </c>
      <c r="G37" s="4" t="s">
        <v>38</v>
      </c>
      <c r="H37" s="4" t="s">
        <v>39</v>
      </c>
      <c r="I37" s="4"/>
      <c r="J37" s="4"/>
      <c r="K37" s="4">
        <v>222</v>
      </c>
      <c r="L37" s="4">
        <v>3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06" x14ac:dyDescent="0.25">
      <c r="A38" s="4">
        <v>50</v>
      </c>
      <c r="B38" s="4">
        <v>0</v>
      </c>
      <c r="C38" s="4">
        <v>0</v>
      </c>
      <c r="D38" s="4">
        <v>1</v>
      </c>
      <c r="E38" s="4">
        <v>225</v>
      </c>
      <c r="F38" s="4">
        <f>ROUND(Source!AV33,O38)</f>
        <v>0</v>
      </c>
      <c r="G38" s="4" t="s">
        <v>40</v>
      </c>
      <c r="H38" s="4" t="s">
        <v>41</v>
      </c>
      <c r="I38" s="4"/>
      <c r="J38" s="4"/>
      <c r="K38" s="4">
        <v>225</v>
      </c>
      <c r="L38" s="4">
        <v>4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06" x14ac:dyDescent="0.25">
      <c r="A39" s="4">
        <v>50</v>
      </c>
      <c r="B39" s="4">
        <v>0</v>
      </c>
      <c r="C39" s="4">
        <v>0</v>
      </c>
      <c r="D39" s="4">
        <v>1</v>
      </c>
      <c r="E39" s="4">
        <v>226</v>
      </c>
      <c r="F39" s="4">
        <f>ROUND(Source!AW33,O39)</f>
        <v>0</v>
      </c>
      <c r="G39" s="4" t="s">
        <v>42</v>
      </c>
      <c r="H39" s="4" t="s">
        <v>43</v>
      </c>
      <c r="I39" s="4"/>
      <c r="J39" s="4"/>
      <c r="K39" s="4">
        <v>226</v>
      </c>
      <c r="L39" s="4">
        <v>5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06" x14ac:dyDescent="0.25">
      <c r="A40" s="4">
        <v>50</v>
      </c>
      <c r="B40" s="4">
        <v>0</v>
      </c>
      <c r="C40" s="4">
        <v>0</v>
      </c>
      <c r="D40" s="4">
        <v>1</v>
      </c>
      <c r="E40" s="4">
        <v>227</v>
      </c>
      <c r="F40" s="4">
        <f>ROUND(Source!AX33,O40)</f>
        <v>0</v>
      </c>
      <c r="G40" s="4" t="s">
        <v>44</v>
      </c>
      <c r="H40" s="4" t="s">
        <v>45</v>
      </c>
      <c r="I40" s="4"/>
      <c r="J40" s="4"/>
      <c r="K40" s="4">
        <v>227</v>
      </c>
      <c r="L40" s="4">
        <v>6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06" x14ac:dyDescent="0.25">
      <c r="A41" s="4">
        <v>50</v>
      </c>
      <c r="B41" s="4">
        <v>0</v>
      </c>
      <c r="C41" s="4">
        <v>0</v>
      </c>
      <c r="D41" s="4">
        <v>1</v>
      </c>
      <c r="E41" s="4">
        <v>228</v>
      </c>
      <c r="F41" s="4">
        <f>ROUND(Source!AY33,O41)</f>
        <v>0</v>
      </c>
      <c r="G41" s="4" t="s">
        <v>46</v>
      </c>
      <c r="H41" s="4" t="s">
        <v>47</v>
      </c>
      <c r="I41" s="4"/>
      <c r="J41" s="4"/>
      <c r="K41" s="4">
        <v>228</v>
      </c>
      <c r="L41" s="4">
        <v>7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06" x14ac:dyDescent="0.25">
      <c r="A42" s="4">
        <v>50</v>
      </c>
      <c r="B42" s="4">
        <v>0</v>
      </c>
      <c r="C42" s="4">
        <v>0</v>
      </c>
      <c r="D42" s="4">
        <v>1</v>
      </c>
      <c r="E42" s="4">
        <v>216</v>
      </c>
      <c r="F42" s="4">
        <f>ROUND(Source!AP33,O42)</f>
        <v>0</v>
      </c>
      <c r="G42" s="4" t="s">
        <v>48</v>
      </c>
      <c r="H42" s="4" t="s">
        <v>49</v>
      </c>
      <c r="I42" s="4"/>
      <c r="J42" s="4"/>
      <c r="K42" s="4">
        <v>216</v>
      </c>
      <c r="L42" s="4">
        <v>8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06" x14ac:dyDescent="0.25">
      <c r="A43" s="4">
        <v>50</v>
      </c>
      <c r="B43" s="4">
        <v>0</v>
      </c>
      <c r="C43" s="4">
        <v>0</v>
      </c>
      <c r="D43" s="4">
        <v>1</v>
      </c>
      <c r="E43" s="4">
        <v>223</v>
      </c>
      <c r="F43" s="4">
        <f>ROUND(Source!AQ33,O43)</f>
        <v>0</v>
      </c>
      <c r="G43" s="4" t="s">
        <v>50</v>
      </c>
      <c r="H43" s="4" t="s">
        <v>51</v>
      </c>
      <c r="I43" s="4"/>
      <c r="J43" s="4"/>
      <c r="K43" s="4">
        <v>223</v>
      </c>
      <c r="L43" s="4">
        <v>9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06" x14ac:dyDescent="0.25">
      <c r="A44" s="4">
        <v>50</v>
      </c>
      <c r="B44" s="4">
        <v>0</v>
      </c>
      <c r="C44" s="4">
        <v>0</v>
      </c>
      <c r="D44" s="4">
        <v>1</v>
      </c>
      <c r="E44" s="4">
        <v>229</v>
      </c>
      <c r="F44" s="4">
        <f>ROUND(Source!AZ33,O44)</f>
        <v>0</v>
      </c>
      <c r="G44" s="4" t="s">
        <v>52</v>
      </c>
      <c r="H44" s="4" t="s">
        <v>53</v>
      </c>
      <c r="I44" s="4"/>
      <c r="J44" s="4"/>
      <c r="K44" s="4">
        <v>229</v>
      </c>
      <c r="L44" s="4">
        <v>10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06" x14ac:dyDescent="0.25">
      <c r="A45" s="4">
        <v>50</v>
      </c>
      <c r="B45" s="4">
        <v>0</v>
      </c>
      <c r="C45" s="4">
        <v>0</v>
      </c>
      <c r="D45" s="4">
        <v>1</v>
      </c>
      <c r="E45" s="4">
        <v>203</v>
      </c>
      <c r="F45" s="4">
        <f>ROUND(Source!Q33,O45)</f>
        <v>17408760.309999999</v>
      </c>
      <c r="G45" s="4" t="s">
        <v>54</v>
      </c>
      <c r="H45" s="4" t="s">
        <v>55</v>
      </c>
      <c r="I45" s="4"/>
      <c r="J45" s="4"/>
      <c r="K45" s="4">
        <v>203</v>
      </c>
      <c r="L45" s="4">
        <v>11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914920.44</v>
      </c>
      <c r="X45" s="4">
        <v>1</v>
      </c>
      <c r="Y45" s="4">
        <v>914920.44</v>
      </c>
      <c r="Z45" s="4"/>
      <c r="AA45" s="4"/>
      <c r="AB45" s="4"/>
    </row>
    <row r="46" spans="1:206" x14ac:dyDescent="0.25">
      <c r="A46" s="4">
        <v>50</v>
      </c>
      <c r="B46" s="4">
        <v>0</v>
      </c>
      <c r="C46" s="4">
        <v>0</v>
      </c>
      <c r="D46" s="4">
        <v>1</v>
      </c>
      <c r="E46" s="4">
        <v>231</v>
      </c>
      <c r="F46" s="4">
        <f>ROUND(Source!BB33,O46)</f>
        <v>0</v>
      </c>
      <c r="G46" s="4" t="s">
        <v>56</v>
      </c>
      <c r="H46" s="4" t="s">
        <v>57</v>
      </c>
      <c r="I46" s="4"/>
      <c r="J46" s="4"/>
      <c r="K46" s="4">
        <v>231</v>
      </c>
      <c r="L46" s="4">
        <v>12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06" x14ac:dyDescent="0.25">
      <c r="A47" s="4">
        <v>50</v>
      </c>
      <c r="B47" s="4">
        <v>0</v>
      </c>
      <c r="C47" s="4">
        <v>0</v>
      </c>
      <c r="D47" s="4">
        <v>1</v>
      </c>
      <c r="E47" s="4">
        <v>204</v>
      </c>
      <c r="F47" s="4">
        <f>ROUND(Source!R33,O47)</f>
        <v>9303988.7300000004</v>
      </c>
      <c r="G47" s="4" t="s">
        <v>58</v>
      </c>
      <c r="H47" s="4" t="s">
        <v>59</v>
      </c>
      <c r="I47" s="4"/>
      <c r="J47" s="4"/>
      <c r="K47" s="4">
        <v>204</v>
      </c>
      <c r="L47" s="4">
        <v>13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495998.1</v>
      </c>
      <c r="X47" s="4">
        <v>1</v>
      </c>
      <c r="Y47" s="4">
        <v>495998.1</v>
      </c>
      <c r="Z47" s="4"/>
      <c r="AA47" s="4"/>
      <c r="AB47" s="4"/>
    </row>
    <row r="48" spans="1:206" x14ac:dyDescent="0.25">
      <c r="A48" s="4">
        <v>50</v>
      </c>
      <c r="B48" s="4">
        <v>0</v>
      </c>
      <c r="C48" s="4">
        <v>0</v>
      </c>
      <c r="D48" s="4">
        <v>1</v>
      </c>
      <c r="E48" s="4">
        <v>205</v>
      </c>
      <c r="F48" s="4">
        <f>ROUND(Source!S33,O48)</f>
        <v>23944542.489999998</v>
      </c>
      <c r="G48" s="4" t="s">
        <v>60</v>
      </c>
      <c r="H48" s="4" t="s">
        <v>61</v>
      </c>
      <c r="I48" s="4"/>
      <c r="J48" s="4"/>
      <c r="K48" s="4">
        <v>205</v>
      </c>
      <c r="L48" s="4">
        <v>14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2225737.7400000002</v>
      </c>
      <c r="X48" s="4">
        <v>1</v>
      </c>
      <c r="Y48" s="4">
        <v>2225737.7400000002</v>
      </c>
      <c r="Z48" s="4"/>
      <c r="AA48" s="4"/>
      <c r="AB48" s="4"/>
    </row>
    <row r="49" spans="1:88" x14ac:dyDescent="0.25">
      <c r="A49" s="4">
        <v>50</v>
      </c>
      <c r="B49" s="4">
        <v>0</v>
      </c>
      <c r="C49" s="4">
        <v>0</v>
      </c>
      <c r="D49" s="4">
        <v>1</v>
      </c>
      <c r="E49" s="4">
        <v>232</v>
      </c>
      <c r="F49" s="4">
        <f>ROUND(Source!BC33,O49)</f>
        <v>0</v>
      </c>
      <c r="G49" s="4" t="s">
        <v>62</v>
      </c>
      <c r="H49" s="4" t="s">
        <v>63</v>
      </c>
      <c r="I49" s="4"/>
      <c r="J49" s="4"/>
      <c r="K49" s="4">
        <v>232</v>
      </c>
      <c r="L49" s="4">
        <v>15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88" x14ac:dyDescent="0.25">
      <c r="A50" s="4">
        <v>50</v>
      </c>
      <c r="B50" s="4">
        <v>0</v>
      </c>
      <c r="C50" s="4">
        <v>0</v>
      </c>
      <c r="D50" s="4">
        <v>1</v>
      </c>
      <c r="E50" s="4">
        <v>214</v>
      </c>
      <c r="F50" s="4">
        <f>ROUND(Source!AS33,O50)</f>
        <v>0</v>
      </c>
      <c r="G50" s="4" t="s">
        <v>64</v>
      </c>
      <c r="H50" s="4" t="s">
        <v>65</v>
      </c>
      <c r="I50" s="4"/>
      <c r="J50" s="4"/>
      <c r="K50" s="4">
        <v>214</v>
      </c>
      <c r="L50" s="4">
        <v>16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88" x14ac:dyDescent="0.25">
      <c r="A51" s="4">
        <v>50</v>
      </c>
      <c r="B51" s="4">
        <v>0</v>
      </c>
      <c r="C51" s="4">
        <v>0</v>
      </c>
      <c r="D51" s="4">
        <v>1</v>
      </c>
      <c r="E51" s="4">
        <v>215</v>
      </c>
      <c r="F51" s="4">
        <f>ROUND(Source!AT33,O51)</f>
        <v>0</v>
      </c>
      <c r="G51" s="4" t="s">
        <v>66</v>
      </c>
      <c r="H51" s="4" t="s">
        <v>67</v>
      </c>
      <c r="I51" s="4"/>
      <c r="J51" s="4"/>
      <c r="K51" s="4">
        <v>215</v>
      </c>
      <c r="L51" s="4">
        <v>17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88" x14ac:dyDescent="0.25">
      <c r="A52" s="4">
        <v>50</v>
      </c>
      <c r="B52" s="4">
        <v>0</v>
      </c>
      <c r="C52" s="4">
        <v>0</v>
      </c>
      <c r="D52" s="4">
        <v>1</v>
      </c>
      <c r="E52" s="4">
        <v>217</v>
      </c>
      <c r="F52" s="4">
        <f>ROUND(Source!AU33,O52)</f>
        <v>70557244.629999995</v>
      </c>
      <c r="G52" s="4" t="s">
        <v>68</v>
      </c>
      <c r="H52" s="4" t="s">
        <v>69</v>
      </c>
      <c r="I52" s="4"/>
      <c r="J52" s="4"/>
      <c r="K52" s="4">
        <v>217</v>
      </c>
      <c r="L52" s="4">
        <v>18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5456926.3300000001</v>
      </c>
      <c r="X52" s="4">
        <v>1</v>
      </c>
      <c r="Y52" s="4">
        <v>5456926.3300000001</v>
      </c>
      <c r="Z52" s="4"/>
      <c r="AA52" s="4"/>
      <c r="AB52" s="4"/>
    </row>
    <row r="53" spans="1:88" x14ac:dyDescent="0.25">
      <c r="A53" s="4">
        <v>50</v>
      </c>
      <c r="B53" s="4">
        <v>0</v>
      </c>
      <c r="C53" s="4">
        <v>0</v>
      </c>
      <c r="D53" s="4">
        <v>1</v>
      </c>
      <c r="E53" s="4">
        <v>230</v>
      </c>
      <c r="F53" s="4">
        <f>ROUND(Source!BA33,O53)</f>
        <v>0</v>
      </c>
      <c r="G53" s="4" t="s">
        <v>70</v>
      </c>
      <c r="H53" s="4" t="s">
        <v>71</v>
      </c>
      <c r="I53" s="4"/>
      <c r="J53" s="4"/>
      <c r="K53" s="4">
        <v>230</v>
      </c>
      <c r="L53" s="4">
        <v>19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88" x14ac:dyDescent="0.25">
      <c r="A54" s="4">
        <v>50</v>
      </c>
      <c r="B54" s="4">
        <v>0</v>
      </c>
      <c r="C54" s="4">
        <v>0</v>
      </c>
      <c r="D54" s="4">
        <v>1</v>
      </c>
      <c r="E54" s="4">
        <v>206</v>
      </c>
      <c r="F54" s="4">
        <f>ROUND(Source!T33,O54)</f>
        <v>0</v>
      </c>
      <c r="G54" s="4" t="s">
        <v>72</v>
      </c>
      <c r="H54" s="4" t="s">
        <v>73</v>
      </c>
      <c r="I54" s="4"/>
      <c r="J54" s="4"/>
      <c r="K54" s="4">
        <v>206</v>
      </c>
      <c r="L54" s="4">
        <v>20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88" x14ac:dyDescent="0.25">
      <c r="A55" s="4">
        <v>50</v>
      </c>
      <c r="B55" s="4">
        <v>0</v>
      </c>
      <c r="C55" s="4">
        <v>0</v>
      </c>
      <c r="D55" s="4">
        <v>1</v>
      </c>
      <c r="E55" s="4">
        <v>207</v>
      </c>
      <c r="F55" s="4">
        <f>Source!U33</f>
        <v>55744.739999999991</v>
      </c>
      <c r="G55" s="4" t="s">
        <v>74</v>
      </c>
      <c r="H55" s="4" t="s">
        <v>75</v>
      </c>
      <c r="I55" s="4"/>
      <c r="J55" s="4"/>
      <c r="K55" s="4">
        <v>207</v>
      </c>
      <c r="L55" s="4">
        <v>21</v>
      </c>
      <c r="M55" s="4">
        <v>3</v>
      </c>
      <c r="N55" s="4" t="s">
        <v>3</v>
      </c>
      <c r="O55" s="4">
        <v>-1</v>
      </c>
      <c r="P55" s="4"/>
      <c r="Q55" s="4"/>
      <c r="R55" s="4"/>
      <c r="S55" s="4"/>
      <c r="T55" s="4"/>
      <c r="U55" s="4"/>
      <c r="V55" s="4"/>
      <c r="W55" s="4">
        <v>5374.1665000000003</v>
      </c>
      <c r="X55" s="4">
        <v>1</v>
      </c>
      <c r="Y55" s="4">
        <v>5374.1665000000003</v>
      </c>
      <c r="Z55" s="4"/>
      <c r="AA55" s="4"/>
      <c r="AB55" s="4"/>
    </row>
    <row r="56" spans="1:88" x14ac:dyDescent="0.25">
      <c r="A56" s="4">
        <v>50</v>
      </c>
      <c r="B56" s="4">
        <v>0</v>
      </c>
      <c r="C56" s="4">
        <v>0</v>
      </c>
      <c r="D56" s="4">
        <v>1</v>
      </c>
      <c r="E56" s="4">
        <v>208</v>
      </c>
      <c r="F56" s="4">
        <f>Source!V33</f>
        <v>0</v>
      </c>
      <c r="G56" s="4" t="s">
        <v>76</v>
      </c>
      <c r="H56" s="4" t="s">
        <v>77</v>
      </c>
      <c r="I56" s="4"/>
      <c r="J56" s="4"/>
      <c r="K56" s="4">
        <v>208</v>
      </c>
      <c r="L56" s="4">
        <v>22</v>
      </c>
      <c r="M56" s="4">
        <v>3</v>
      </c>
      <c r="N56" s="4" t="s">
        <v>3</v>
      </c>
      <c r="O56" s="4">
        <v>-1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88" x14ac:dyDescent="0.25">
      <c r="A57" s="4">
        <v>50</v>
      </c>
      <c r="B57" s="4">
        <v>0</v>
      </c>
      <c r="C57" s="4">
        <v>0</v>
      </c>
      <c r="D57" s="4">
        <v>1</v>
      </c>
      <c r="E57" s="4">
        <v>209</v>
      </c>
      <c r="F57" s="4">
        <f>ROUND(Source!W33,O57)</f>
        <v>0</v>
      </c>
      <c r="G57" s="4" t="s">
        <v>78</v>
      </c>
      <c r="H57" s="4" t="s">
        <v>79</v>
      </c>
      <c r="I57" s="4"/>
      <c r="J57" s="4"/>
      <c r="K57" s="4">
        <v>209</v>
      </c>
      <c r="L57" s="4">
        <v>23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88" x14ac:dyDescent="0.25">
      <c r="A58" s="4">
        <v>50</v>
      </c>
      <c r="B58" s="4">
        <v>0</v>
      </c>
      <c r="C58" s="4">
        <v>0</v>
      </c>
      <c r="D58" s="4">
        <v>1</v>
      </c>
      <c r="E58" s="4">
        <v>233</v>
      </c>
      <c r="F58" s="4">
        <f>ROUND(Source!BD33,O58)</f>
        <v>0</v>
      </c>
      <c r="G58" s="4" t="s">
        <v>80</v>
      </c>
      <c r="H58" s="4" t="s">
        <v>81</v>
      </c>
      <c r="I58" s="4"/>
      <c r="J58" s="4"/>
      <c r="K58" s="4">
        <v>233</v>
      </c>
      <c r="L58" s="4">
        <v>24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88" x14ac:dyDescent="0.25">
      <c r="A59" s="4">
        <v>50</v>
      </c>
      <c r="B59" s="4">
        <v>0</v>
      </c>
      <c r="C59" s="4">
        <v>0</v>
      </c>
      <c r="D59" s="4">
        <v>1</v>
      </c>
      <c r="E59" s="4">
        <v>210</v>
      </c>
      <c r="F59" s="4">
        <f>ROUND(Source!X33,O59)</f>
        <v>16761179.75</v>
      </c>
      <c r="G59" s="4" t="s">
        <v>82</v>
      </c>
      <c r="H59" s="4" t="s">
        <v>83</v>
      </c>
      <c r="I59" s="4"/>
      <c r="J59" s="4"/>
      <c r="K59" s="4">
        <v>210</v>
      </c>
      <c r="L59" s="4">
        <v>25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1558016.42</v>
      </c>
      <c r="X59" s="4">
        <v>1</v>
      </c>
      <c r="Y59" s="4">
        <v>1558016.42</v>
      </c>
      <c r="Z59" s="4"/>
      <c r="AA59" s="4"/>
      <c r="AB59" s="4"/>
    </row>
    <row r="60" spans="1:88" x14ac:dyDescent="0.25">
      <c r="A60" s="4">
        <v>50</v>
      </c>
      <c r="B60" s="4">
        <v>0</v>
      </c>
      <c r="C60" s="4">
        <v>0</v>
      </c>
      <c r="D60" s="4">
        <v>1</v>
      </c>
      <c r="E60" s="4">
        <v>211</v>
      </c>
      <c r="F60" s="4">
        <f>ROUND(Source!Y33,O60)</f>
        <v>2394454.25</v>
      </c>
      <c r="G60" s="4" t="s">
        <v>84</v>
      </c>
      <c r="H60" s="4" t="s">
        <v>85</v>
      </c>
      <c r="I60" s="4"/>
      <c r="J60" s="4"/>
      <c r="K60" s="4">
        <v>211</v>
      </c>
      <c r="L60" s="4">
        <v>26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222573.78</v>
      </c>
      <c r="X60" s="4">
        <v>1</v>
      </c>
      <c r="Y60" s="4">
        <v>222573.78</v>
      </c>
      <c r="Z60" s="4"/>
      <c r="AA60" s="4"/>
      <c r="AB60" s="4"/>
    </row>
    <row r="61" spans="1:88" x14ac:dyDescent="0.25">
      <c r="A61" s="4">
        <v>50</v>
      </c>
      <c r="B61" s="4">
        <v>0</v>
      </c>
      <c r="C61" s="4">
        <v>0</v>
      </c>
      <c r="D61" s="4">
        <v>1</v>
      </c>
      <c r="E61" s="4">
        <v>224</v>
      </c>
      <c r="F61" s="4">
        <f>ROUND(Source!AR33,O61)</f>
        <v>70557244.629999995</v>
      </c>
      <c r="G61" s="4" t="s">
        <v>86</v>
      </c>
      <c r="H61" s="4" t="s">
        <v>87</v>
      </c>
      <c r="I61" s="4"/>
      <c r="J61" s="4"/>
      <c r="K61" s="4">
        <v>224</v>
      </c>
      <c r="L61" s="4">
        <v>27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5456926.3300000001</v>
      </c>
      <c r="X61" s="4">
        <v>1</v>
      </c>
      <c r="Y61" s="4">
        <v>5456926.3300000001</v>
      </c>
      <c r="Z61" s="4"/>
      <c r="AA61" s="4"/>
      <c r="AB61" s="4"/>
    </row>
    <row r="63" spans="1:88" x14ac:dyDescent="0.25">
      <c r="A63" s="1">
        <v>4</v>
      </c>
      <c r="B63" s="1">
        <v>1</v>
      </c>
      <c r="C63" s="1"/>
      <c r="D63" s="1">
        <f>ROW(A69)</f>
        <v>69</v>
      </c>
      <c r="E63" s="1"/>
      <c r="F63" s="1" t="s">
        <v>3</v>
      </c>
      <c r="G63" s="1" t="s">
        <v>176</v>
      </c>
      <c r="H63" s="1" t="s">
        <v>3</v>
      </c>
      <c r="I63" s="1">
        <v>0</v>
      </c>
      <c r="J63" s="1"/>
      <c r="K63" s="1">
        <v>-1</v>
      </c>
      <c r="L63" s="1"/>
      <c r="M63" s="1" t="s">
        <v>3</v>
      </c>
      <c r="N63" s="1"/>
      <c r="O63" s="1"/>
      <c r="P63" s="1"/>
      <c r="Q63" s="1"/>
      <c r="R63" s="1"/>
      <c r="S63" s="1">
        <v>0</v>
      </c>
      <c r="T63" s="1"/>
      <c r="U63" s="1" t="s">
        <v>3</v>
      </c>
      <c r="V63" s="1">
        <v>0</v>
      </c>
      <c r="W63" s="1"/>
      <c r="X63" s="1"/>
      <c r="Y63" s="1"/>
      <c r="Z63" s="1"/>
      <c r="AA63" s="1"/>
      <c r="AB63" s="1" t="s">
        <v>3</v>
      </c>
      <c r="AC63" s="37" t="s">
        <v>3</v>
      </c>
      <c r="AD63" s="37" t="s">
        <v>3</v>
      </c>
      <c r="AE63" s="37" t="s">
        <v>3</v>
      </c>
      <c r="AF63" s="37" t="s">
        <v>3</v>
      </c>
      <c r="AG63" s="1" t="s">
        <v>3</v>
      </c>
      <c r="AH63" s="37"/>
      <c r="AI63" s="37"/>
      <c r="AJ63" s="1"/>
      <c r="AK63" s="1"/>
      <c r="AL63" s="1"/>
      <c r="AM63" s="1"/>
      <c r="AN63" s="1"/>
      <c r="AO63" s="1"/>
      <c r="AP63" s="1" t="s">
        <v>3</v>
      </c>
      <c r="AQ63" s="1" t="s">
        <v>3</v>
      </c>
      <c r="AR63" s="1" t="s">
        <v>3</v>
      </c>
      <c r="AS63" s="1"/>
      <c r="AT63" s="1"/>
      <c r="AU63" s="1"/>
      <c r="AV63" s="1"/>
      <c r="AW63" s="1"/>
      <c r="AX63" s="1"/>
      <c r="AY63" s="1"/>
      <c r="AZ63" s="1" t="s">
        <v>3</v>
      </c>
      <c r="BA63" s="1"/>
      <c r="BB63" s="1" t="s">
        <v>3</v>
      </c>
      <c r="BC63" s="1" t="s">
        <v>3</v>
      </c>
      <c r="BD63" s="1" t="s">
        <v>3</v>
      </c>
      <c r="BE63" s="1" t="s">
        <v>3</v>
      </c>
      <c r="BF63" s="1" t="s">
        <v>3</v>
      </c>
      <c r="BG63" s="1" t="s">
        <v>3</v>
      </c>
      <c r="BH63" s="1" t="s">
        <v>3</v>
      </c>
      <c r="BI63" s="1" t="s">
        <v>3</v>
      </c>
      <c r="BJ63" s="1" t="s">
        <v>3</v>
      </c>
      <c r="BK63" s="1" t="s">
        <v>3</v>
      </c>
      <c r="BL63" s="1" t="s">
        <v>3</v>
      </c>
      <c r="BM63" s="1" t="s">
        <v>3</v>
      </c>
      <c r="BN63" s="1" t="s">
        <v>3</v>
      </c>
      <c r="BO63" s="1" t="s">
        <v>3</v>
      </c>
      <c r="BP63" s="1" t="s">
        <v>3</v>
      </c>
      <c r="BQ63" s="1"/>
      <c r="BR63" s="1"/>
      <c r="BS63" s="1"/>
      <c r="BT63" s="1"/>
      <c r="BU63" s="1"/>
      <c r="BV63" s="1"/>
      <c r="BW63" s="1"/>
      <c r="BX63" s="1">
        <v>0</v>
      </c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>
        <v>0</v>
      </c>
    </row>
    <row r="65" spans="1:245" x14ac:dyDescent="0.25">
      <c r="A65" s="2">
        <v>52</v>
      </c>
      <c r="B65" s="2">
        <f t="shared" ref="B65:G65" si="27">B69</f>
        <v>1</v>
      </c>
      <c r="C65" s="2">
        <f t="shared" si="27"/>
        <v>4</v>
      </c>
      <c r="D65" s="2">
        <f t="shared" si="27"/>
        <v>63</v>
      </c>
      <c r="E65" s="2">
        <f t="shared" si="27"/>
        <v>0</v>
      </c>
      <c r="F65" s="2" t="str">
        <f t="shared" si="27"/>
        <v/>
      </c>
      <c r="G65" s="2" t="str">
        <f t="shared" si="27"/>
        <v>Осмотр и прочистка отливов водосточных труб. Водостоки 308 шт.</v>
      </c>
      <c r="H65" s="2"/>
      <c r="I65" s="2"/>
      <c r="J65" s="2"/>
      <c r="K65" s="2"/>
      <c r="L65" s="2"/>
      <c r="M65" s="2"/>
      <c r="N65" s="2"/>
      <c r="O65" s="2">
        <f t="shared" ref="O65:AT65" si="28">O69</f>
        <v>113595.33</v>
      </c>
      <c r="P65" s="2">
        <f t="shared" si="28"/>
        <v>0</v>
      </c>
      <c r="Q65" s="2">
        <f t="shared" si="28"/>
        <v>0</v>
      </c>
      <c r="R65" s="2">
        <f t="shared" si="28"/>
        <v>0</v>
      </c>
      <c r="S65" s="2">
        <f t="shared" si="28"/>
        <v>113595.33</v>
      </c>
      <c r="T65" s="2">
        <f t="shared" si="28"/>
        <v>0</v>
      </c>
      <c r="U65" s="2">
        <f t="shared" si="28"/>
        <v>288.28800000000001</v>
      </c>
      <c r="V65" s="2">
        <f t="shared" si="28"/>
        <v>0</v>
      </c>
      <c r="W65" s="2">
        <f t="shared" si="28"/>
        <v>0</v>
      </c>
      <c r="X65" s="2">
        <f t="shared" si="28"/>
        <v>79516.73</v>
      </c>
      <c r="Y65" s="2">
        <f t="shared" si="28"/>
        <v>11359.53</v>
      </c>
      <c r="Z65" s="2">
        <f t="shared" si="28"/>
        <v>0</v>
      </c>
      <c r="AA65" s="2">
        <f t="shared" si="28"/>
        <v>0</v>
      </c>
      <c r="AB65" s="2">
        <f t="shared" si="28"/>
        <v>113595.33</v>
      </c>
      <c r="AC65" s="38">
        <f t="shared" si="28"/>
        <v>0</v>
      </c>
      <c r="AD65" s="38">
        <f t="shared" si="28"/>
        <v>0</v>
      </c>
      <c r="AE65" s="38">
        <f t="shared" si="28"/>
        <v>0</v>
      </c>
      <c r="AF65" s="38">
        <f t="shared" si="28"/>
        <v>113595.33</v>
      </c>
      <c r="AG65" s="2">
        <f t="shared" si="28"/>
        <v>0</v>
      </c>
      <c r="AH65" s="38">
        <f t="shared" si="28"/>
        <v>288.28800000000001</v>
      </c>
      <c r="AI65" s="38">
        <f t="shared" si="28"/>
        <v>0</v>
      </c>
      <c r="AJ65" s="2">
        <f t="shared" si="28"/>
        <v>0</v>
      </c>
      <c r="AK65" s="2">
        <f t="shared" si="28"/>
        <v>79516.73</v>
      </c>
      <c r="AL65" s="2">
        <f t="shared" si="28"/>
        <v>11359.53</v>
      </c>
      <c r="AM65" s="2">
        <f t="shared" si="28"/>
        <v>0</v>
      </c>
      <c r="AN65" s="2">
        <f t="shared" si="28"/>
        <v>0</v>
      </c>
      <c r="AO65" s="2">
        <f t="shared" si="28"/>
        <v>0</v>
      </c>
      <c r="AP65" s="2">
        <f t="shared" si="28"/>
        <v>0</v>
      </c>
      <c r="AQ65" s="2">
        <f t="shared" si="28"/>
        <v>0</v>
      </c>
      <c r="AR65" s="2">
        <f t="shared" si="28"/>
        <v>204471.59</v>
      </c>
      <c r="AS65" s="2">
        <f t="shared" si="28"/>
        <v>0</v>
      </c>
      <c r="AT65" s="2">
        <f t="shared" si="28"/>
        <v>0</v>
      </c>
      <c r="AU65" s="2">
        <f t="shared" ref="AU65:BZ65" si="29">AU69</f>
        <v>204471.59</v>
      </c>
      <c r="AV65" s="2">
        <f t="shared" si="29"/>
        <v>0</v>
      </c>
      <c r="AW65" s="2">
        <f t="shared" si="29"/>
        <v>0</v>
      </c>
      <c r="AX65" s="2">
        <f t="shared" si="29"/>
        <v>0</v>
      </c>
      <c r="AY65" s="2">
        <f t="shared" si="29"/>
        <v>0</v>
      </c>
      <c r="AZ65" s="2">
        <f t="shared" si="29"/>
        <v>0</v>
      </c>
      <c r="BA65" s="2">
        <f t="shared" si="29"/>
        <v>0</v>
      </c>
      <c r="BB65" s="2">
        <f t="shared" si="29"/>
        <v>0</v>
      </c>
      <c r="BC65" s="2">
        <f t="shared" si="29"/>
        <v>0</v>
      </c>
      <c r="BD65" s="2">
        <f t="shared" si="29"/>
        <v>0</v>
      </c>
      <c r="BE65" s="2">
        <f t="shared" si="29"/>
        <v>0</v>
      </c>
      <c r="BF65" s="2">
        <f t="shared" si="29"/>
        <v>0</v>
      </c>
      <c r="BG65" s="2">
        <f t="shared" si="29"/>
        <v>0</v>
      </c>
      <c r="BH65" s="2">
        <f t="shared" si="29"/>
        <v>0</v>
      </c>
      <c r="BI65" s="2">
        <f t="shared" si="29"/>
        <v>0</v>
      </c>
      <c r="BJ65" s="2">
        <f t="shared" si="29"/>
        <v>0</v>
      </c>
      <c r="BK65" s="2">
        <f t="shared" si="29"/>
        <v>0</v>
      </c>
      <c r="BL65" s="2">
        <f t="shared" si="29"/>
        <v>0</v>
      </c>
      <c r="BM65" s="2">
        <f t="shared" si="29"/>
        <v>0</v>
      </c>
      <c r="BN65" s="2">
        <f t="shared" si="29"/>
        <v>0</v>
      </c>
      <c r="BO65" s="2">
        <f t="shared" si="29"/>
        <v>0</v>
      </c>
      <c r="BP65" s="2">
        <f t="shared" si="29"/>
        <v>0</v>
      </c>
      <c r="BQ65" s="2">
        <f t="shared" si="29"/>
        <v>0</v>
      </c>
      <c r="BR65" s="2">
        <f t="shared" si="29"/>
        <v>0</v>
      </c>
      <c r="BS65" s="2">
        <f t="shared" si="29"/>
        <v>0</v>
      </c>
      <c r="BT65" s="2">
        <f t="shared" si="29"/>
        <v>0</v>
      </c>
      <c r="BU65" s="2">
        <f t="shared" si="29"/>
        <v>0</v>
      </c>
      <c r="BV65" s="2">
        <f t="shared" si="29"/>
        <v>0</v>
      </c>
      <c r="BW65" s="2">
        <f t="shared" si="29"/>
        <v>0</v>
      </c>
      <c r="BX65" s="2">
        <f t="shared" si="29"/>
        <v>0</v>
      </c>
      <c r="BY65" s="2">
        <f t="shared" si="29"/>
        <v>0</v>
      </c>
      <c r="BZ65" s="2">
        <f t="shared" si="29"/>
        <v>0</v>
      </c>
      <c r="CA65" s="2">
        <f t="shared" ref="CA65:DF65" si="30">CA69</f>
        <v>204471.59</v>
      </c>
      <c r="CB65" s="2">
        <f t="shared" si="30"/>
        <v>0</v>
      </c>
      <c r="CC65" s="2">
        <f t="shared" si="30"/>
        <v>0</v>
      </c>
      <c r="CD65" s="2">
        <f t="shared" si="30"/>
        <v>204471.59</v>
      </c>
      <c r="CE65" s="2">
        <f t="shared" si="30"/>
        <v>0</v>
      </c>
      <c r="CF65" s="2">
        <f t="shared" si="30"/>
        <v>0</v>
      </c>
      <c r="CG65" s="2">
        <f t="shared" si="30"/>
        <v>0</v>
      </c>
      <c r="CH65" s="2">
        <f t="shared" si="30"/>
        <v>0</v>
      </c>
      <c r="CI65" s="2">
        <f t="shared" si="30"/>
        <v>0</v>
      </c>
      <c r="CJ65" s="2">
        <f t="shared" si="30"/>
        <v>0</v>
      </c>
      <c r="CK65" s="2">
        <f t="shared" si="30"/>
        <v>0</v>
      </c>
      <c r="CL65" s="2">
        <f t="shared" si="30"/>
        <v>0</v>
      </c>
      <c r="CM65" s="2">
        <f t="shared" si="30"/>
        <v>0</v>
      </c>
      <c r="CN65" s="2">
        <f t="shared" si="30"/>
        <v>0</v>
      </c>
      <c r="CO65" s="2">
        <f t="shared" si="30"/>
        <v>0</v>
      </c>
      <c r="CP65" s="2">
        <f t="shared" si="30"/>
        <v>0</v>
      </c>
      <c r="CQ65" s="2">
        <f t="shared" si="30"/>
        <v>0</v>
      </c>
      <c r="CR65" s="38">
        <f t="shared" si="30"/>
        <v>0</v>
      </c>
      <c r="CS65" s="2">
        <f t="shared" si="30"/>
        <v>0</v>
      </c>
      <c r="CT65" s="2">
        <f t="shared" si="30"/>
        <v>0</v>
      </c>
      <c r="CU65" s="2">
        <f t="shared" si="30"/>
        <v>0</v>
      </c>
      <c r="CV65" s="2">
        <f t="shared" si="30"/>
        <v>0</v>
      </c>
      <c r="CW65" s="2">
        <f t="shared" si="30"/>
        <v>0</v>
      </c>
      <c r="CX65" s="2">
        <f t="shared" si="30"/>
        <v>0</v>
      </c>
      <c r="CY65" s="2">
        <f t="shared" si="30"/>
        <v>0</v>
      </c>
      <c r="CZ65" s="2">
        <f t="shared" si="30"/>
        <v>0</v>
      </c>
      <c r="DA65" s="2">
        <f t="shared" si="30"/>
        <v>0</v>
      </c>
      <c r="DB65" s="2">
        <f t="shared" si="30"/>
        <v>0</v>
      </c>
      <c r="DC65" s="2">
        <f t="shared" si="30"/>
        <v>0</v>
      </c>
      <c r="DD65" s="2">
        <f t="shared" si="30"/>
        <v>0</v>
      </c>
      <c r="DE65" s="2">
        <f t="shared" si="30"/>
        <v>0</v>
      </c>
      <c r="DF65" s="2">
        <f t="shared" si="30"/>
        <v>0</v>
      </c>
      <c r="DG65" s="3">
        <f t="shared" ref="DG65:EL65" si="31">DG69</f>
        <v>0</v>
      </c>
      <c r="DH65" s="3">
        <f t="shared" si="31"/>
        <v>0</v>
      </c>
      <c r="DI65" s="3">
        <f t="shared" si="31"/>
        <v>0</v>
      </c>
      <c r="DJ65" s="3">
        <f t="shared" si="31"/>
        <v>0</v>
      </c>
      <c r="DK65" s="3">
        <f t="shared" si="31"/>
        <v>0</v>
      </c>
      <c r="DL65" s="3">
        <f t="shared" si="31"/>
        <v>0</v>
      </c>
      <c r="DM65" s="3">
        <f t="shared" si="31"/>
        <v>0</v>
      </c>
      <c r="DN65" s="3">
        <f t="shared" si="31"/>
        <v>0</v>
      </c>
      <c r="DO65" s="3">
        <f t="shared" si="31"/>
        <v>0</v>
      </c>
      <c r="DP65" s="3">
        <f t="shared" si="31"/>
        <v>0</v>
      </c>
      <c r="DQ65" s="3">
        <f t="shared" si="31"/>
        <v>0</v>
      </c>
      <c r="DR65" s="3">
        <f t="shared" si="31"/>
        <v>0</v>
      </c>
      <c r="DS65" s="3">
        <f t="shared" si="31"/>
        <v>0</v>
      </c>
      <c r="DT65" s="3">
        <f t="shared" si="31"/>
        <v>0</v>
      </c>
      <c r="DU65" s="3">
        <f t="shared" si="31"/>
        <v>0</v>
      </c>
      <c r="DV65" s="3">
        <f t="shared" si="31"/>
        <v>0</v>
      </c>
      <c r="DW65" s="3">
        <f t="shared" si="31"/>
        <v>0</v>
      </c>
      <c r="DX65" s="3">
        <f t="shared" si="31"/>
        <v>0</v>
      </c>
      <c r="DY65" s="3">
        <f t="shared" si="31"/>
        <v>0</v>
      </c>
      <c r="DZ65" s="3">
        <f t="shared" si="31"/>
        <v>0</v>
      </c>
      <c r="EA65" s="3">
        <f t="shared" si="31"/>
        <v>0</v>
      </c>
      <c r="EB65" s="3">
        <f t="shared" si="31"/>
        <v>0</v>
      </c>
      <c r="EC65" s="3">
        <f t="shared" si="31"/>
        <v>0</v>
      </c>
      <c r="ED65" s="3">
        <f t="shared" si="31"/>
        <v>0</v>
      </c>
      <c r="EE65" s="3">
        <f t="shared" si="31"/>
        <v>0</v>
      </c>
      <c r="EF65" s="3">
        <f t="shared" si="31"/>
        <v>0</v>
      </c>
      <c r="EG65" s="3">
        <f t="shared" si="31"/>
        <v>0</v>
      </c>
      <c r="EH65" s="3">
        <f t="shared" si="31"/>
        <v>0</v>
      </c>
      <c r="EI65" s="3">
        <f t="shared" si="31"/>
        <v>0</v>
      </c>
      <c r="EJ65" s="3">
        <f t="shared" si="31"/>
        <v>0</v>
      </c>
      <c r="EK65" s="3">
        <f t="shared" si="31"/>
        <v>0</v>
      </c>
      <c r="EL65" s="3">
        <f t="shared" si="31"/>
        <v>0</v>
      </c>
      <c r="EM65" s="3">
        <f t="shared" ref="EM65:FR65" si="32">EM69</f>
        <v>0</v>
      </c>
      <c r="EN65" s="3">
        <f t="shared" si="32"/>
        <v>0</v>
      </c>
      <c r="EO65" s="3">
        <f t="shared" si="32"/>
        <v>0</v>
      </c>
      <c r="EP65" s="3">
        <f t="shared" si="32"/>
        <v>0</v>
      </c>
      <c r="EQ65" s="3">
        <f t="shared" si="32"/>
        <v>0</v>
      </c>
      <c r="ER65" s="3">
        <f t="shared" si="32"/>
        <v>0</v>
      </c>
      <c r="ES65" s="3">
        <f t="shared" si="32"/>
        <v>0</v>
      </c>
      <c r="ET65" s="3">
        <f t="shared" si="32"/>
        <v>0</v>
      </c>
      <c r="EU65" s="3">
        <f t="shared" si="32"/>
        <v>0</v>
      </c>
      <c r="EV65" s="3">
        <f t="shared" si="32"/>
        <v>0</v>
      </c>
      <c r="EW65" s="3">
        <f t="shared" si="32"/>
        <v>0</v>
      </c>
      <c r="EX65" s="3">
        <f t="shared" si="32"/>
        <v>0</v>
      </c>
      <c r="EY65" s="3">
        <f t="shared" si="32"/>
        <v>0</v>
      </c>
      <c r="EZ65" s="3">
        <f t="shared" si="32"/>
        <v>0</v>
      </c>
      <c r="FA65" s="3">
        <f t="shared" si="32"/>
        <v>0</v>
      </c>
      <c r="FB65" s="3">
        <f t="shared" si="32"/>
        <v>0</v>
      </c>
      <c r="FC65" s="3">
        <f t="shared" si="32"/>
        <v>0</v>
      </c>
      <c r="FD65" s="3">
        <f t="shared" si="32"/>
        <v>0</v>
      </c>
      <c r="FE65" s="3">
        <f t="shared" si="32"/>
        <v>0</v>
      </c>
      <c r="FF65" s="3">
        <f t="shared" si="32"/>
        <v>0</v>
      </c>
      <c r="FG65" s="3">
        <f t="shared" si="32"/>
        <v>0</v>
      </c>
      <c r="FH65" s="3">
        <f t="shared" si="32"/>
        <v>0</v>
      </c>
      <c r="FI65" s="3">
        <f t="shared" si="32"/>
        <v>0</v>
      </c>
      <c r="FJ65" s="3">
        <f t="shared" si="32"/>
        <v>0</v>
      </c>
      <c r="FK65" s="3">
        <f t="shared" si="32"/>
        <v>0</v>
      </c>
      <c r="FL65" s="3">
        <f t="shared" si="32"/>
        <v>0</v>
      </c>
      <c r="FM65" s="3">
        <f t="shared" si="32"/>
        <v>0</v>
      </c>
      <c r="FN65" s="3">
        <f t="shared" si="32"/>
        <v>0</v>
      </c>
      <c r="FO65" s="3">
        <f t="shared" si="32"/>
        <v>0</v>
      </c>
      <c r="FP65" s="3">
        <f t="shared" si="32"/>
        <v>0</v>
      </c>
      <c r="FQ65" s="3">
        <f t="shared" si="32"/>
        <v>0</v>
      </c>
      <c r="FR65" s="3">
        <f t="shared" si="32"/>
        <v>0</v>
      </c>
      <c r="FS65" s="3">
        <f t="shared" ref="FS65:GX65" si="33">FS69</f>
        <v>0</v>
      </c>
      <c r="FT65" s="3">
        <f t="shared" si="33"/>
        <v>0</v>
      </c>
      <c r="FU65" s="3">
        <f t="shared" si="33"/>
        <v>0</v>
      </c>
      <c r="FV65" s="3">
        <f t="shared" si="33"/>
        <v>0</v>
      </c>
      <c r="FW65" s="3">
        <f t="shared" si="33"/>
        <v>0</v>
      </c>
      <c r="FX65" s="3">
        <f t="shared" si="33"/>
        <v>0</v>
      </c>
      <c r="FY65" s="3">
        <f t="shared" si="33"/>
        <v>0</v>
      </c>
      <c r="FZ65" s="3">
        <f t="shared" si="33"/>
        <v>0</v>
      </c>
      <c r="GA65" s="3">
        <f t="shared" si="33"/>
        <v>0</v>
      </c>
      <c r="GB65" s="3">
        <f t="shared" si="33"/>
        <v>0</v>
      </c>
      <c r="GC65" s="3">
        <f t="shared" si="33"/>
        <v>0</v>
      </c>
      <c r="GD65" s="3">
        <f t="shared" si="33"/>
        <v>0</v>
      </c>
      <c r="GE65" s="3">
        <f t="shared" si="33"/>
        <v>0</v>
      </c>
      <c r="GF65" s="3">
        <f t="shared" si="33"/>
        <v>0</v>
      </c>
      <c r="GG65" s="3">
        <f t="shared" si="33"/>
        <v>0</v>
      </c>
      <c r="GH65" s="3">
        <f t="shared" si="33"/>
        <v>0</v>
      </c>
      <c r="GI65" s="3">
        <f t="shared" si="33"/>
        <v>0</v>
      </c>
      <c r="GJ65" s="3">
        <f t="shared" si="33"/>
        <v>0</v>
      </c>
      <c r="GK65" s="3">
        <f t="shared" si="33"/>
        <v>0</v>
      </c>
      <c r="GL65" s="3">
        <f t="shared" si="33"/>
        <v>0</v>
      </c>
      <c r="GM65" s="3">
        <f t="shared" si="33"/>
        <v>0</v>
      </c>
      <c r="GN65" s="3">
        <f t="shared" si="33"/>
        <v>0</v>
      </c>
      <c r="GO65" s="3">
        <f t="shared" si="33"/>
        <v>0</v>
      </c>
      <c r="GP65" s="3">
        <f t="shared" si="33"/>
        <v>0</v>
      </c>
      <c r="GQ65" s="3">
        <f t="shared" si="33"/>
        <v>0</v>
      </c>
      <c r="GR65" s="3">
        <f t="shared" si="33"/>
        <v>0</v>
      </c>
      <c r="GS65" s="3">
        <f t="shared" si="33"/>
        <v>0</v>
      </c>
      <c r="GT65" s="3">
        <f t="shared" si="33"/>
        <v>0</v>
      </c>
      <c r="GU65" s="3">
        <f t="shared" si="33"/>
        <v>0</v>
      </c>
      <c r="GV65" s="3">
        <f t="shared" si="33"/>
        <v>0</v>
      </c>
      <c r="GW65" s="3">
        <f t="shared" si="33"/>
        <v>0</v>
      </c>
      <c r="GX65" s="3">
        <f t="shared" si="33"/>
        <v>0</v>
      </c>
    </row>
    <row r="67" spans="1:245" x14ac:dyDescent="0.25">
      <c r="A67">
        <v>17</v>
      </c>
      <c r="B67">
        <v>1</v>
      </c>
      <c r="C67">
        <f>ROW(SmtRes!A7)</f>
        <v>7</v>
      </c>
      <c r="D67">
        <f>ROW(EtalonRes!A7)</f>
        <v>7</v>
      </c>
      <c r="E67" t="s">
        <v>88</v>
      </c>
      <c r="F67" t="s">
        <v>89</v>
      </c>
      <c r="G67" t="s">
        <v>90</v>
      </c>
      <c r="H67" t="s">
        <v>91</v>
      </c>
      <c r="I67">
        <f>ROUND((308)/10,9)</f>
        <v>30.8</v>
      </c>
      <c r="J67">
        <v>0</v>
      </c>
      <c r="K67">
        <f>ROUND((308)/10,9)</f>
        <v>30.8</v>
      </c>
      <c r="O67">
        <f>ROUND(CP67,2)</f>
        <v>113595.33</v>
      </c>
      <c r="P67">
        <f>ROUND(CQ67*I67,2)</f>
        <v>0</v>
      </c>
      <c r="Q67">
        <f>ROUND(CR67*I67,2)</f>
        <v>0</v>
      </c>
      <c r="R67">
        <f>ROUND(CS67*I67,2)</f>
        <v>0</v>
      </c>
      <c r="S67">
        <f>ROUND(CT67*I67,2)</f>
        <v>113595.33</v>
      </c>
      <c r="T67">
        <f>ROUND(CU67*I67,2)</f>
        <v>0</v>
      </c>
      <c r="U67">
        <f>CV67*I67</f>
        <v>288.28800000000001</v>
      </c>
      <c r="V67">
        <f>CW67*I67</f>
        <v>0</v>
      </c>
      <c r="W67">
        <f>ROUND(CX67*I67,2)</f>
        <v>0</v>
      </c>
      <c r="X67">
        <f>ROUND(CY67,2)</f>
        <v>79516.73</v>
      </c>
      <c r="Y67">
        <f>ROUND(CZ67,2)</f>
        <v>11359.53</v>
      </c>
      <c r="AA67">
        <v>75447910</v>
      </c>
      <c r="AB67">
        <f>ROUND((AC67+AD67+AF67),6)</f>
        <v>3688.16</v>
      </c>
      <c r="AC67" s="36">
        <f>ROUND(((ES67*8)),6)</f>
        <v>0</v>
      </c>
      <c r="AD67" s="36">
        <f>ROUND(((((ET67*8))-((EU67*8)))+AE67),6)</f>
        <v>0</v>
      </c>
      <c r="AE67" s="36">
        <f>ROUND(((EU67*8)),6)</f>
        <v>0</v>
      </c>
      <c r="AF67" s="36">
        <f>ROUND(((EV67*8)),6)</f>
        <v>3688.16</v>
      </c>
      <c r="AG67">
        <f>ROUND((AP67),6)</f>
        <v>0</v>
      </c>
      <c r="AH67" s="36">
        <f>((EW67*8))</f>
        <v>9.36</v>
      </c>
      <c r="AI67" s="36">
        <f>((EX67*8))</f>
        <v>0</v>
      </c>
      <c r="AJ67">
        <f>(AS67)</f>
        <v>0</v>
      </c>
      <c r="AK67">
        <v>461.02</v>
      </c>
      <c r="AL67">
        <v>0</v>
      </c>
      <c r="AM67">
        <v>0</v>
      </c>
      <c r="AN67">
        <v>0</v>
      </c>
      <c r="AO67">
        <v>461.02</v>
      </c>
      <c r="AP67">
        <v>0</v>
      </c>
      <c r="AQ67">
        <v>1.17</v>
      </c>
      <c r="AR67">
        <v>0</v>
      </c>
      <c r="AS67">
        <v>0</v>
      </c>
      <c r="AT67">
        <v>70</v>
      </c>
      <c r="AU67">
        <v>10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4</v>
      </c>
      <c r="BJ67" t="s">
        <v>92</v>
      </c>
      <c r="BM67">
        <v>0</v>
      </c>
      <c r="BN67">
        <v>0</v>
      </c>
      <c r="BO67" t="s">
        <v>3</v>
      </c>
      <c r="BP67">
        <v>0</v>
      </c>
      <c r="BQ67">
        <v>1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70</v>
      </c>
      <c r="CA67">
        <v>10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>(P67+Q67+S67)</f>
        <v>113595.33</v>
      </c>
      <c r="CQ67">
        <f>(AC67*BC67*AW67)</f>
        <v>0</v>
      </c>
      <c r="CR67" s="36">
        <f>(((((ET67*8))*BB67-((EU67*8))*BS67)+AE67*BS67)*AV67)</f>
        <v>0</v>
      </c>
      <c r="CS67">
        <f>(AE67*BS67*AV67)</f>
        <v>0</v>
      </c>
      <c r="CT67">
        <f>(AF67*BA67*AV67)</f>
        <v>3688.16</v>
      </c>
      <c r="CU67">
        <f>AG67</f>
        <v>0</v>
      </c>
      <c r="CV67">
        <f>(AH67*AV67)</f>
        <v>9.36</v>
      </c>
      <c r="CW67">
        <f>AI67</f>
        <v>0</v>
      </c>
      <c r="CX67">
        <f>AJ67</f>
        <v>0</v>
      </c>
      <c r="CY67">
        <f>((S67*BZ67)/100)</f>
        <v>79516.731</v>
      </c>
      <c r="CZ67">
        <f>((S67*CA67)/100)</f>
        <v>11359.533000000001</v>
      </c>
      <c r="DC67" t="s">
        <v>3</v>
      </c>
      <c r="DD67" t="s">
        <v>178</v>
      </c>
      <c r="DE67" t="s">
        <v>178</v>
      </c>
      <c r="DF67" t="s">
        <v>178</v>
      </c>
      <c r="DG67" t="s">
        <v>178</v>
      </c>
      <c r="DH67" t="s">
        <v>3</v>
      </c>
      <c r="DI67" t="s">
        <v>178</v>
      </c>
      <c r="DJ67" t="s">
        <v>178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1010</v>
      </c>
      <c r="DV67" t="s">
        <v>91</v>
      </c>
      <c r="DW67" t="s">
        <v>91</v>
      </c>
      <c r="DX67">
        <v>10</v>
      </c>
      <c r="DZ67" t="s">
        <v>3</v>
      </c>
      <c r="EA67" t="s">
        <v>3</v>
      </c>
      <c r="EB67" t="s">
        <v>3</v>
      </c>
      <c r="EC67" t="s">
        <v>3</v>
      </c>
      <c r="EE67">
        <v>75550794</v>
      </c>
      <c r="EF67">
        <v>1</v>
      </c>
      <c r="EG67" t="s">
        <v>18</v>
      </c>
      <c r="EH67">
        <v>0</v>
      </c>
      <c r="EI67" t="s">
        <v>3</v>
      </c>
      <c r="EJ67">
        <v>4</v>
      </c>
      <c r="EK67">
        <v>0</v>
      </c>
      <c r="EL67" t="s">
        <v>19</v>
      </c>
      <c r="EM67" t="s">
        <v>20</v>
      </c>
      <c r="EO67" t="s">
        <v>3</v>
      </c>
      <c r="EQ67">
        <v>0</v>
      </c>
      <c r="ER67">
        <v>461.02</v>
      </c>
      <c r="ES67">
        <v>0</v>
      </c>
      <c r="ET67">
        <v>0</v>
      </c>
      <c r="EU67">
        <v>0</v>
      </c>
      <c r="EV67">
        <v>461.02</v>
      </c>
      <c r="EW67">
        <v>1.17</v>
      </c>
      <c r="EX67">
        <v>0</v>
      </c>
      <c r="EY67">
        <v>0</v>
      </c>
      <c r="FQ67">
        <v>0</v>
      </c>
      <c r="FR67">
        <f>ROUND(IF(BI67=3,GM67,0),2)</f>
        <v>0</v>
      </c>
      <c r="FS67">
        <v>0</v>
      </c>
      <c r="FX67">
        <v>70</v>
      </c>
      <c r="FY67">
        <v>10</v>
      </c>
      <c r="GA67" t="s">
        <v>3</v>
      </c>
      <c r="GD67">
        <v>0</v>
      </c>
      <c r="GF67">
        <v>-641578544</v>
      </c>
      <c r="GG67">
        <v>2</v>
      </c>
      <c r="GH67">
        <v>1</v>
      </c>
      <c r="GI67">
        <v>-2</v>
      </c>
      <c r="GJ67">
        <v>0</v>
      </c>
      <c r="GK67">
        <f>ROUND(R67*(R12)/100,2)</f>
        <v>0</v>
      </c>
      <c r="GL67">
        <f>ROUND(IF(AND(BH67=3,BI67=3,FS67&lt;&gt;0),P67,0),2)</f>
        <v>0</v>
      </c>
      <c r="GM67">
        <f>ROUND(O67+X67+Y67+GK67,2)+GX67</f>
        <v>204471.59</v>
      </c>
      <c r="GN67">
        <f>IF(OR(BI67=0,BI67=1),GM67-GX67,0)</f>
        <v>0</v>
      </c>
      <c r="GO67">
        <f>IF(BI67=2,GM67-GX67,0)</f>
        <v>0</v>
      </c>
      <c r="GP67">
        <f>IF(BI67=4,GM67-GX67,0)</f>
        <v>204471.59</v>
      </c>
      <c r="GR67">
        <v>0</v>
      </c>
      <c r="GS67">
        <v>3</v>
      </c>
      <c r="GT67">
        <v>0</v>
      </c>
      <c r="GU67" t="s">
        <v>3</v>
      </c>
      <c r="GV67">
        <f>ROUND((GT67),6)</f>
        <v>0</v>
      </c>
      <c r="GW67">
        <v>1</v>
      </c>
      <c r="GX67">
        <f>ROUND(HC67*I67,2)</f>
        <v>0</v>
      </c>
      <c r="HA67">
        <v>0</v>
      </c>
      <c r="HB67">
        <v>0</v>
      </c>
      <c r="HC67">
        <f>GV67*GW67</f>
        <v>0</v>
      </c>
      <c r="HE67" t="s">
        <v>3</v>
      </c>
      <c r="HF67" t="s">
        <v>3</v>
      </c>
      <c r="HM67" t="s">
        <v>3</v>
      </c>
      <c r="HN67" t="s">
        <v>3</v>
      </c>
      <c r="HO67" t="s">
        <v>3</v>
      </c>
      <c r="HP67" t="s">
        <v>3</v>
      </c>
      <c r="HQ67" t="s">
        <v>3</v>
      </c>
      <c r="IK67">
        <v>0</v>
      </c>
    </row>
    <row r="69" spans="1:245" x14ac:dyDescent="0.25">
      <c r="A69" s="2">
        <v>51</v>
      </c>
      <c r="B69" s="2">
        <f>B63</f>
        <v>1</v>
      </c>
      <c r="C69" s="2">
        <f>A63</f>
        <v>4</v>
      </c>
      <c r="D69" s="2">
        <f>ROW(A63)</f>
        <v>63</v>
      </c>
      <c r="E69" s="2"/>
      <c r="F69" s="2" t="str">
        <f>IF(F63&lt;&gt;"",F63,"")</f>
        <v/>
      </c>
      <c r="G69" s="2" t="str">
        <f>IF(G63&lt;&gt;"",G63,"")</f>
        <v>Осмотр и прочистка отливов водосточных труб. Водостоки 308 шт.</v>
      </c>
      <c r="H69" s="2">
        <v>0</v>
      </c>
      <c r="I69" s="2"/>
      <c r="J69" s="2"/>
      <c r="K69" s="2"/>
      <c r="L69" s="2"/>
      <c r="M69" s="2"/>
      <c r="N69" s="2"/>
      <c r="O69" s="2">
        <f t="shared" ref="O69:T69" si="34">ROUND(AB69,2)</f>
        <v>113595.33</v>
      </c>
      <c r="P69" s="2">
        <f t="shared" si="34"/>
        <v>0</v>
      </c>
      <c r="Q69" s="2">
        <f t="shared" si="34"/>
        <v>0</v>
      </c>
      <c r="R69" s="2">
        <f t="shared" si="34"/>
        <v>0</v>
      </c>
      <c r="S69" s="2">
        <f t="shared" si="34"/>
        <v>113595.33</v>
      </c>
      <c r="T69" s="2">
        <f t="shared" si="34"/>
        <v>0</v>
      </c>
      <c r="U69" s="2">
        <f>AH69</f>
        <v>288.28800000000001</v>
      </c>
      <c r="V69" s="2">
        <f>AI69</f>
        <v>0</v>
      </c>
      <c r="W69" s="2">
        <f>ROUND(AJ69,2)</f>
        <v>0</v>
      </c>
      <c r="X69" s="2">
        <f>ROUND(AK69,2)</f>
        <v>79516.73</v>
      </c>
      <c r="Y69" s="2">
        <f>ROUND(AL69,2)</f>
        <v>11359.53</v>
      </c>
      <c r="Z69" s="2"/>
      <c r="AA69" s="2"/>
      <c r="AB69" s="2">
        <f>ROUND(SUMIF(AA67:AA67,"=75447910",O67:O67),2)</f>
        <v>113595.33</v>
      </c>
      <c r="AC69" s="38">
        <f>ROUND(SUMIF(AA67:AA67,"=75447910",P67:P67),2)</f>
        <v>0</v>
      </c>
      <c r="AD69" s="38">
        <f>ROUND(SUMIF(AA67:AA67,"=75447910",Q67:Q67),2)</f>
        <v>0</v>
      </c>
      <c r="AE69" s="38">
        <f>ROUND(SUMIF(AA67:AA67,"=75447910",R67:R67),2)</f>
        <v>0</v>
      </c>
      <c r="AF69" s="38">
        <f>ROUND(SUMIF(AA67:AA67,"=75447910",S67:S67),2)</f>
        <v>113595.33</v>
      </c>
      <c r="AG69" s="2">
        <f>ROUND(SUMIF(AA67:AA67,"=75447910",T67:T67),2)</f>
        <v>0</v>
      </c>
      <c r="AH69" s="38">
        <f>SUMIF(AA67:AA67,"=75447910",U67:U67)</f>
        <v>288.28800000000001</v>
      </c>
      <c r="AI69" s="38">
        <f>SUMIF(AA67:AA67,"=75447910",V67:V67)</f>
        <v>0</v>
      </c>
      <c r="AJ69" s="2">
        <f>ROUND(SUMIF(AA67:AA67,"=75447910",W67:W67),2)</f>
        <v>0</v>
      </c>
      <c r="AK69" s="2">
        <f>ROUND(SUMIF(AA67:AA67,"=75447910",X67:X67),2)</f>
        <v>79516.73</v>
      </c>
      <c r="AL69" s="2">
        <f>ROUND(SUMIF(AA67:AA67,"=75447910",Y67:Y67),2)</f>
        <v>11359.53</v>
      </c>
      <c r="AM69" s="2"/>
      <c r="AN69" s="2"/>
      <c r="AO69" s="2">
        <f t="shared" ref="AO69:BD69" si="35">ROUND(BX69,2)</f>
        <v>0</v>
      </c>
      <c r="AP69" s="2">
        <f t="shared" si="35"/>
        <v>0</v>
      </c>
      <c r="AQ69" s="2">
        <f t="shared" si="35"/>
        <v>0</v>
      </c>
      <c r="AR69" s="2">
        <f t="shared" si="35"/>
        <v>204471.59</v>
      </c>
      <c r="AS69" s="2">
        <f t="shared" si="35"/>
        <v>0</v>
      </c>
      <c r="AT69" s="2">
        <f t="shared" si="35"/>
        <v>0</v>
      </c>
      <c r="AU69" s="2">
        <f t="shared" si="35"/>
        <v>204471.59</v>
      </c>
      <c r="AV69" s="2">
        <f t="shared" si="35"/>
        <v>0</v>
      </c>
      <c r="AW69" s="2">
        <f t="shared" si="35"/>
        <v>0</v>
      </c>
      <c r="AX69" s="2">
        <f t="shared" si="35"/>
        <v>0</v>
      </c>
      <c r="AY69" s="2">
        <f t="shared" si="35"/>
        <v>0</v>
      </c>
      <c r="AZ69" s="2">
        <f t="shared" si="35"/>
        <v>0</v>
      </c>
      <c r="BA69" s="2">
        <f t="shared" si="35"/>
        <v>0</v>
      </c>
      <c r="BB69" s="2">
        <f t="shared" si="35"/>
        <v>0</v>
      </c>
      <c r="BC69" s="2">
        <f t="shared" si="35"/>
        <v>0</v>
      </c>
      <c r="BD69" s="2">
        <f t="shared" si="35"/>
        <v>0</v>
      </c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>
        <f>ROUND(SUMIF(AA67:AA67,"=75447910",FQ67:FQ67),2)</f>
        <v>0</v>
      </c>
      <c r="BY69" s="2">
        <f>ROUND(SUMIF(AA67:AA67,"=75447910",FR67:FR67),2)</f>
        <v>0</v>
      </c>
      <c r="BZ69" s="2">
        <f>ROUND(SUMIF(AA67:AA67,"=75447910",GL67:GL67),2)</f>
        <v>0</v>
      </c>
      <c r="CA69" s="2">
        <f>ROUND(SUMIF(AA67:AA67,"=75447910",GM67:GM67),2)</f>
        <v>204471.59</v>
      </c>
      <c r="CB69" s="2">
        <f>ROUND(SUMIF(AA67:AA67,"=75447910",GN67:GN67),2)</f>
        <v>0</v>
      </c>
      <c r="CC69" s="2">
        <f>ROUND(SUMIF(AA67:AA67,"=75447910",GO67:GO67),2)</f>
        <v>0</v>
      </c>
      <c r="CD69" s="2">
        <f>ROUND(SUMIF(AA67:AA67,"=75447910",GP67:GP67),2)</f>
        <v>204471.59</v>
      </c>
      <c r="CE69" s="2">
        <f>AC69-BX69</f>
        <v>0</v>
      </c>
      <c r="CF69" s="2">
        <f>AC69-BY69</f>
        <v>0</v>
      </c>
      <c r="CG69" s="2">
        <f>BX69-BZ69</f>
        <v>0</v>
      </c>
      <c r="CH69" s="2">
        <f>AC69-BX69-BY69+BZ69</f>
        <v>0</v>
      </c>
      <c r="CI69" s="2">
        <f>BY69-BZ69</f>
        <v>0</v>
      </c>
      <c r="CJ69" s="2">
        <f>ROUND(SUMIF(AA67:AA67,"=75447910",GX67:GX67),2)</f>
        <v>0</v>
      </c>
      <c r="CK69" s="2">
        <f>ROUND(SUMIF(AA67:AA67,"=75447910",GY67:GY67),2)</f>
        <v>0</v>
      </c>
      <c r="CL69" s="2">
        <f>ROUND(SUMIF(AA67:AA67,"=75447910",GZ67:GZ67),2)</f>
        <v>0</v>
      </c>
      <c r="CM69" s="2">
        <f>ROUND(SUMIF(AA67:AA67,"=75447910",HD67:HD67),2)</f>
        <v>0</v>
      </c>
      <c r="CN69" s="2"/>
      <c r="CO69" s="2"/>
      <c r="CP69" s="2"/>
      <c r="CQ69" s="2"/>
      <c r="CR69" s="38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>
        <v>0</v>
      </c>
    </row>
    <row r="71" spans="1:245" x14ac:dyDescent="0.25">
      <c r="A71" s="4">
        <v>50</v>
      </c>
      <c r="B71" s="4">
        <v>0</v>
      </c>
      <c r="C71" s="4">
        <v>0</v>
      </c>
      <c r="D71" s="4">
        <v>1</v>
      </c>
      <c r="E71" s="4">
        <v>201</v>
      </c>
      <c r="F71" s="4">
        <f>ROUND(Source!O69,O71)</f>
        <v>113595.33</v>
      </c>
      <c r="G71" s="4" t="s">
        <v>34</v>
      </c>
      <c r="H71" s="4" t="s">
        <v>35</v>
      </c>
      <c r="I71" s="4"/>
      <c r="J71" s="4"/>
      <c r="K71" s="4">
        <v>201</v>
      </c>
      <c r="L71" s="4">
        <v>1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61776.68</v>
      </c>
      <c r="X71" s="4">
        <v>1</v>
      </c>
      <c r="Y71" s="4">
        <v>61776.68</v>
      </c>
      <c r="Z71" s="4"/>
      <c r="AA71" s="4"/>
      <c r="AB71" s="4"/>
    </row>
    <row r="72" spans="1:245" x14ac:dyDescent="0.25">
      <c r="A72" s="4">
        <v>50</v>
      </c>
      <c r="B72" s="4">
        <v>0</v>
      </c>
      <c r="C72" s="4">
        <v>0</v>
      </c>
      <c r="D72" s="4">
        <v>1</v>
      </c>
      <c r="E72" s="4">
        <v>202</v>
      </c>
      <c r="F72" s="4">
        <f>ROUND(Source!P69,O72)</f>
        <v>0</v>
      </c>
      <c r="G72" s="4" t="s">
        <v>36</v>
      </c>
      <c r="H72" s="4" t="s">
        <v>37</v>
      </c>
      <c r="I72" s="4"/>
      <c r="J72" s="4"/>
      <c r="K72" s="4">
        <v>202</v>
      </c>
      <c r="L72" s="4">
        <v>2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45" x14ac:dyDescent="0.25">
      <c r="A73" s="4">
        <v>50</v>
      </c>
      <c r="B73" s="4">
        <v>0</v>
      </c>
      <c r="C73" s="4">
        <v>0</v>
      </c>
      <c r="D73" s="4">
        <v>1</v>
      </c>
      <c r="E73" s="4">
        <v>222</v>
      </c>
      <c r="F73" s="4">
        <f>ROUND(Source!AO69,O73)</f>
        <v>0</v>
      </c>
      <c r="G73" s="4" t="s">
        <v>38</v>
      </c>
      <c r="H73" s="4" t="s">
        <v>39</v>
      </c>
      <c r="I73" s="4"/>
      <c r="J73" s="4"/>
      <c r="K73" s="4">
        <v>222</v>
      </c>
      <c r="L73" s="4">
        <v>3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45" x14ac:dyDescent="0.25">
      <c r="A74" s="4">
        <v>50</v>
      </c>
      <c r="B74" s="4">
        <v>0</v>
      </c>
      <c r="C74" s="4">
        <v>0</v>
      </c>
      <c r="D74" s="4">
        <v>1</v>
      </c>
      <c r="E74" s="4">
        <v>225</v>
      </c>
      <c r="F74" s="4">
        <f>ROUND(Source!AV69,O74)</f>
        <v>0</v>
      </c>
      <c r="G74" s="4" t="s">
        <v>40</v>
      </c>
      <c r="H74" s="4" t="s">
        <v>41</v>
      </c>
      <c r="I74" s="4"/>
      <c r="J74" s="4"/>
      <c r="K74" s="4">
        <v>225</v>
      </c>
      <c r="L74" s="4">
        <v>4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0</v>
      </c>
      <c r="X74" s="4">
        <v>1</v>
      </c>
      <c r="Y74" s="4">
        <v>0</v>
      </c>
      <c r="Z74" s="4"/>
      <c r="AA74" s="4"/>
      <c r="AB74" s="4"/>
    </row>
    <row r="75" spans="1:245" x14ac:dyDescent="0.25">
      <c r="A75" s="4">
        <v>50</v>
      </c>
      <c r="B75" s="4">
        <v>0</v>
      </c>
      <c r="C75" s="4">
        <v>0</v>
      </c>
      <c r="D75" s="4">
        <v>1</v>
      </c>
      <c r="E75" s="4">
        <v>226</v>
      </c>
      <c r="F75" s="4">
        <f>ROUND(Source!AW69,O75)</f>
        <v>0</v>
      </c>
      <c r="G75" s="4" t="s">
        <v>42</v>
      </c>
      <c r="H75" s="4" t="s">
        <v>43</v>
      </c>
      <c r="I75" s="4"/>
      <c r="J75" s="4"/>
      <c r="K75" s="4">
        <v>226</v>
      </c>
      <c r="L75" s="4">
        <v>5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45" x14ac:dyDescent="0.25">
      <c r="A76" s="4">
        <v>50</v>
      </c>
      <c r="B76" s="4">
        <v>0</v>
      </c>
      <c r="C76" s="4">
        <v>0</v>
      </c>
      <c r="D76" s="4">
        <v>1</v>
      </c>
      <c r="E76" s="4">
        <v>227</v>
      </c>
      <c r="F76" s="4">
        <f>ROUND(Source!AX69,O76)</f>
        <v>0</v>
      </c>
      <c r="G76" s="4" t="s">
        <v>44</v>
      </c>
      <c r="H76" s="4" t="s">
        <v>45</v>
      </c>
      <c r="I76" s="4"/>
      <c r="J76" s="4"/>
      <c r="K76" s="4">
        <v>227</v>
      </c>
      <c r="L76" s="4">
        <v>6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45" x14ac:dyDescent="0.25">
      <c r="A77" s="4">
        <v>50</v>
      </c>
      <c r="B77" s="4">
        <v>0</v>
      </c>
      <c r="C77" s="4">
        <v>0</v>
      </c>
      <c r="D77" s="4">
        <v>1</v>
      </c>
      <c r="E77" s="4">
        <v>228</v>
      </c>
      <c r="F77" s="4">
        <f>ROUND(Source!AY69,O77)</f>
        <v>0</v>
      </c>
      <c r="G77" s="4" t="s">
        <v>46</v>
      </c>
      <c r="H77" s="4" t="s">
        <v>47</v>
      </c>
      <c r="I77" s="4"/>
      <c r="J77" s="4"/>
      <c r="K77" s="4">
        <v>228</v>
      </c>
      <c r="L77" s="4">
        <v>7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45" x14ac:dyDescent="0.25">
      <c r="A78" s="4">
        <v>50</v>
      </c>
      <c r="B78" s="4">
        <v>0</v>
      </c>
      <c r="C78" s="4">
        <v>0</v>
      </c>
      <c r="D78" s="4">
        <v>1</v>
      </c>
      <c r="E78" s="4">
        <v>216</v>
      </c>
      <c r="F78" s="4">
        <f>ROUND(Source!AP69,O78)</f>
        <v>0</v>
      </c>
      <c r="G78" s="4" t="s">
        <v>48</v>
      </c>
      <c r="H78" s="4" t="s">
        <v>49</v>
      </c>
      <c r="I78" s="4"/>
      <c r="J78" s="4"/>
      <c r="K78" s="4">
        <v>216</v>
      </c>
      <c r="L78" s="4">
        <v>8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45" x14ac:dyDescent="0.25">
      <c r="A79" s="4">
        <v>50</v>
      </c>
      <c r="B79" s="4">
        <v>0</v>
      </c>
      <c r="C79" s="4">
        <v>0</v>
      </c>
      <c r="D79" s="4">
        <v>1</v>
      </c>
      <c r="E79" s="4">
        <v>223</v>
      </c>
      <c r="F79" s="4">
        <f>ROUND(Source!AQ69,O79)</f>
        <v>0</v>
      </c>
      <c r="G79" s="4" t="s">
        <v>50</v>
      </c>
      <c r="H79" s="4" t="s">
        <v>51</v>
      </c>
      <c r="I79" s="4"/>
      <c r="J79" s="4"/>
      <c r="K79" s="4">
        <v>223</v>
      </c>
      <c r="L79" s="4">
        <v>9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45" x14ac:dyDescent="0.25">
      <c r="A80" s="4">
        <v>50</v>
      </c>
      <c r="B80" s="4">
        <v>0</v>
      </c>
      <c r="C80" s="4">
        <v>0</v>
      </c>
      <c r="D80" s="4">
        <v>1</v>
      </c>
      <c r="E80" s="4">
        <v>229</v>
      </c>
      <c r="F80" s="4">
        <f>ROUND(Source!AZ69,O80)</f>
        <v>0</v>
      </c>
      <c r="G80" s="4" t="s">
        <v>52</v>
      </c>
      <c r="H80" s="4" t="s">
        <v>53</v>
      </c>
      <c r="I80" s="4"/>
      <c r="J80" s="4"/>
      <c r="K80" s="4">
        <v>229</v>
      </c>
      <c r="L80" s="4">
        <v>10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5">
      <c r="A81" s="4">
        <v>50</v>
      </c>
      <c r="B81" s="4">
        <v>0</v>
      </c>
      <c r="C81" s="4">
        <v>0</v>
      </c>
      <c r="D81" s="4">
        <v>1</v>
      </c>
      <c r="E81" s="4">
        <v>203</v>
      </c>
      <c r="F81" s="4">
        <f>ROUND(Source!Q69,O81)</f>
        <v>0</v>
      </c>
      <c r="G81" s="4" t="s">
        <v>54</v>
      </c>
      <c r="H81" s="4" t="s">
        <v>55</v>
      </c>
      <c r="I81" s="4"/>
      <c r="J81" s="4"/>
      <c r="K81" s="4">
        <v>203</v>
      </c>
      <c r="L81" s="4">
        <v>11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5">
      <c r="A82" s="4">
        <v>50</v>
      </c>
      <c r="B82" s="4">
        <v>0</v>
      </c>
      <c r="C82" s="4">
        <v>0</v>
      </c>
      <c r="D82" s="4">
        <v>1</v>
      </c>
      <c r="E82" s="4">
        <v>231</v>
      </c>
      <c r="F82" s="4">
        <f>ROUND(Source!BB69,O82)</f>
        <v>0</v>
      </c>
      <c r="G82" s="4" t="s">
        <v>56</v>
      </c>
      <c r="H82" s="4" t="s">
        <v>57</v>
      </c>
      <c r="I82" s="4"/>
      <c r="J82" s="4"/>
      <c r="K82" s="4">
        <v>231</v>
      </c>
      <c r="L82" s="4">
        <v>12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5">
      <c r="A83" s="4">
        <v>50</v>
      </c>
      <c r="B83" s="4">
        <v>0</v>
      </c>
      <c r="C83" s="4">
        <v>0</v>
      </c>
      <c r="D83" s="4">
        <v>1</v>
      </c>
      <c r="E83" s="4">
        <v>204</v>
      </c>
      <c r="F83" s="4">
        <f>ROUND(Source!R69,O83)</f>
        <v>0</v>
      </c>
      <c r="G83" s="4" t="s">
        <v>58</v>
      </c>
      <c r="H83" s="4" t="s">
        <v>59</v>
      </c>
      <c r="I83" s="4"/>
      <c r="J83" s="4"/>
      <c r="K83" s="4">
        <v>204</v>
      </c>
      <c r="L83" s="4">
        <v>13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5">
      <c r="A84" s="4">
        <v>50</v>
      </c>
      <c r="B84" s="4">
        <v>0</v>
      </c>
      <c r="C84" s="4">
        <v>0</v>
      </c>
      <c r="D84" s="4">
        <v>1</v>
      </c>
      <c r="E84" s="4">
        <v>205</v>
      </c>
      <c r="F84" s="4">
        <f>ROUND(Source!S69,O84)</f>
        <v>113595.33</v>
      </c>
      <c r="G84" s="4" t="s">
        <v>60</v>
      </c>
      <c r="H84" s="4" t="s">
        <v>61</v>
      </c>
      <c r="I84" s="4"/>
      <c r="J84" s="4"/>
      <c r="K84" s="4">
        <v>205</v>
      </c>
      <c r="L84" s="4">
        <v>14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61776.68</v>
      </c>
      <c r="X84" s="4">
        <v>1</v>
      </c>
      <c r="Y84" s="4">
        <v>61776.68</v>
      </c>
      <c r="Z84" s="4"/>
      <c r="AA84" s="4"/>
      <c r="AB84" s="4"/>
    </row>
    <row r="85" spans="1:28" x14ac:dyDescent="0.25">
      <c r="A85" s="4">
        <v>50</v>
      </c>
      <c r="B85" s="4">
        <v>0</v>
      </c>
      <c r="C85" s="4">
        <v>0</v>
      </c>
      <c r="D85" s="4">
        <v>1</v>
      </c>
      <c r="E85" s="4">
        <v>232</v>
      </c>
      <c r="F85" s="4">
        <f>ROUND(Source!BC69,O85)</f>
        <v>0</v>
      </c>
      <c r="G85" s="4" t="s">
        <v>62</v>
      </c>
      <c r="H85" s="4" t="s">
        <v>63</v>
      </c>
      <c r="I85" s="4"/>
      <c r="J85" s="4"/>
      <c r="K85" s="4">
        <v>232</v>
      </c>
      <c r="L85" s="4">
        <v>15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5">
      <c r="A86" s="4">
        <v>50</v>
      </c>
      <c r="B86" s="4">
        <v>0</v>
      </c>
      <c r="C86" s="4">
        <v>0</v>
      </c>
      <c r="D86" s="4">
        <v>1</v>
      </c>
      <c r="E86" s="4">
        <v>214</v>
      </c>
      <c r="F86" s="4">
        <f>ROUND(Source!AS69,O86)</f>
        <v>0</v>
      </c>
      <c r="G86" s="4" t="s">
        <v>64</v>
      </c>
      <c r="H86" s="4" t="s">
        <v>65</v>
      </c>
      <c r="I86" s="4"/>
      <c r="J86" s="4"/>
      <c r="K86" s="4">
        <v>214</v>
      </c>
      <c r="L86" s="4">
        <v>16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5">
      <c r="A87" s="4">
        <v>50</v>
      </c>
      <c r="B87" s="4">
        <v>0</v>
      </c>
      <c r="C87" s="4">
        <v>0</v>
      </c>
      <c r="D87" s="4">
        <v>1</v>
      </c>
      <c r="E87" s="4">
        <v>215</v>
      </c>
      <c r="F87" s="4">
        <f>ROUND(Source!AT69,O87)</f>
        <v>0</v>
      </c>
      <c r="G87" s="4" t="s">
        <v>66</v>
      </c>
      <c r="H87" s="4" t="s">
        <v>67</v>
      </c>
      <c r="I87" s="4"/>
      <c r="J87" s="4"/>
      <c r="K87" s="4">
        <v>215</v>
      </c>
      <c r="L87" s="4">
        <v>17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5">
      <c r="A88" s="4">
        <v>50</v>
      </c>
      <c r="B88" s="4">
        <v>0</v>
      </c>
      <c r="C88" s="4">
        <v>0</v>
      </c>
      <c r="D88" s="4">
        <v>1</v>
      </c>
      <c r="E88" s="4">
        <v>217</v>
      </c>
      <c r="F88" s="4">
        <f>ROUND(Source!AU69,O88)</f>
        <v>204471.59</v>
      </c>
      <c r="G88" s="4" t="s">
        <v>68</v>
      </c>
      <c r="H88" s="4" t="s">
        <v>69</v>
      </c>
      <c r="I88" s="4"/>
      <c r="J88" s="4"/>
      <c r="K88" s="4">
        <v>217</v>
      </c>
      <c r="L88" s="4">
        <v>18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111198.03</v>
      </c>
      <c r="X88" s="4">
        <v>1</v>
      </c>
      <c r="Y88" s="4">
        <v>111198.03</v>
      </c>
      <c r="Z88" s="4"/>
      <c r="AA88" s="4"/>
      <c r="AB88" s="4"/>
    </row>
    <row r="89" spans="1:28" x14ac:dyDescent="0.25">
      <c r="A89" s="4">
        <v>50</v>
      </c>
      <c r="B89" s="4">
        <v>0</v>
      </c>
      <c r="C89" s="4">
        <v>0</v>
      </c>
      <c r="D89" s="4">
        <v>1</v>
      </c>
      <c r="E89" s="4">
        <v>230</v>
      </c>
      <c r="F89" s="4">
        <f>ROUND(Source!BA69,O89)</f>
        <v>0</v>
      </c>
      <c r="G89" s="4" t="s">
        <v>70</v>
      </c>
      <c r="H89" s="4" t="s">
        <v>71</v>
      </c>
      <c r="I89" s="4"/>
      <c r="J89" s="4"/>
      <c r="K89" s="4">
        <v>230</v>
      </c>
      <c r="L89" s="4">
        <v>19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5">
      <c r="A90" s="4">
        <v>50</v>
      </c>
      <c r="B90" s="4">
        <v>0</v>
      </c>
      <c r="C90" s="4">
        <v>0</v>
      </c>
      <c r="D90" s="4">
        <v>1</v>
      </c>
      <c r="E90" s="4">
        <v>206</v>
      </c>
      <c r="F90" s="4">
        <f>ROUND(Source!T69,O90)</f>
        <v>0</v>
      </c>
      <c r="G90" s="4" t="s">
        <v>72</v>
      </c>
      <c r="H90" s="4" t="s">
        <v>73</v>
      </c>
      <c r="I90" s="4"/>
      <c r="J90" s="4"/>
      <c r="K90" s="4">
        <v>206</v>
      </c>
      <c r="L90" s="4">
        <v>20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5">
      <c r="A91" s="4">
        <v>50</v>
      </c>
      <c r="B91" s="4">
        <v>0</v>
      </c>
      <c r="C91" s="4">
        <v>0</v>
      </c>
      <c r="D91" s="4">
        <v>1</v>
      </c>
      <c r="E91" s="4">
        <v>207</v>
      </c>
      <c r="F91" s="4">
        <f>Source!U69</f>
        <v>288.28800000000001</v>
      </c>
      <c r="G91" s="4" t="s">
        <v>74</v>
      </c>
      <c r="H91" s="4" t="s">
        <v>75</v>
      </c>
      <c r="I91" s="4"/>
      <c r="J91" s="4"/>
      <c r="K91" s="4">
        <v>207</v>
      </c>
      <c r="L91" s="4">
        <v>21</v>
      </c>
      <c r="M91" s="4">
        <v>3</v>
      </c>
      <c r="N91" s="4" t="s">
        <v>3</v>
      </c>
      <c r="O91" s="4">
        <v>-1</v>
      </c>
      <c r="P91" s="4"/>
      <c r="Q91" s="4"/>
      <c r="R91" s="4"/>
      <c r="S91" s="4"/>
      <c r="T91" s="4"/>
      <c r="U91" s="4"/>
      <c r="V91" s="4"/>
      <c r="W91" s="4">
        <v>156.78</v>
      </c>
      <c r="X91" s="4">
        <v>1</v>
      </c>
      <c r="Y91" s="4">
        <v>156.78</v>
      </c>
      <c r="Z91" s="4"/>
      <c r="AA91" s="4"/>
      <c r="AB91" s="4"/>
    </row>
    <row r="92" spans="1:28" x14ac:dyDescent="0.25">
      <c r="A92" s="4">
        <v>50</v>
      </c>
      <c r="B92" s="4">
        <v>0</v>
      </c>
      <c r="C92" s="4">
        <v>0</v>
      </c>
      <c r="D92" s="4">
        <v>1</v>
      </c>
      <c r="E92" s="4">
        <v>208</v>
      </c>
      <c r="F92" s="4">
        <f>Source!V69</f>
        <v>0</v>
      </c>
      <c r="G92" s="4" t="s">
        <v>76</v>
      </c>
      <c r="H92" s="4" t="s">
        <v>77</v>
      </c>
      <c r="I92" s="4"/>
      <c r="J92" s="4"/>
      <c r="K92" s="4">
        <v>208</v>
      </c>
      <c r="L92" s="4">
        <v>22</v>
      </c>
      <c r="M92" s="4">
        <v>3</v>
      </c>
      <c r="N92" s="4" t="s">
        <v>3</v>
      </c>
      <c r="O92" s="4">
        <v>-1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5">
      <c r="A93" s="4">
        <v>50</v>
      </c>
      <c r="B93" s="4">
        <v>0</v>
      </c>
      <c r="C93" s="4">
        <v>0</v>
      </c>
      <c r="D93" s="4">
        <v>1</v>
      </c>
      <c r="E93" s="4">
        <v>209</v>
      </c>
      <c r="F93" s="4">
        <f>ROUND(Source!W69,O93)</f>
        <v>0</v>
      </c>
      <c r="G93" s="4" t="s">
        <v>78</v>
      </c>
      <c r="H93" s="4" t="s">
        <v>79</v>
      </c>
      <c r="I93" s="4"/>
      <c r="J93" s="4"/>
      <c r="K93" s="4">
        <v>209</v>
      </c>
      <c r="L93" s="4">
        <v>23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5">
      <c r="A94" s="4">
        <v>50</v>
      </c>
      <c r="B94" s="4">
        <v>0</v>
      </c>
      <c r="C94" s="4">
        <v>0</v>
      </c>
      <c r="D94" s="4">
        <v>1</v>
      </c>
      <c r="E94" s="4">
        <v>233</v>
      </c>
      <c r="F94" s="4">
        <f>ROUND(Source!BD69,O94)</f>
        <v>0</v>
      </c>
      <c r="G94" s="4" t="s">
        <v>80</v>
      </c>
      <c r="H94" s="4" t="s">
        <v>81</v>
      </c>
      <c r="I94" s="4"/>
      <c r="J94" s="4"/>
      <c r="K94" s="4">
        <v>233</v>
      </c>
      <c r="L94" s="4">
        <v>24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5">
      <c r="A95" s="4">
        <v>50</v>
      </c>
      <c r="B95" s="4">
        <v>0</v>
      </c>
      <c r="C95" s="4">
        <v>0</v>
      </c>
      <c r="D95" s="4">
        <v>1</v>
      </c>
      <c r="E95" s="4">
        <v>210</v>
      </c>
      <c r="F95" s="4">
        <f>ROUND(Source!X69,O95)</f>
        <v>79516.73</v>
      </c>
      <c r="G95" s="4" t="s">
        <v>82</v>
      </c>
      <c r="H95" s="4" t="s">
        <v>83</v>
      </c>
      <c r="I95" s="4"/>
      <c r="J95" s="4"/>
      <c r="K95" s="4">
        <v>210</v>
      </c>
      <c r="L95" s="4">
        <v>25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43243.68</v>
      </c>
      <c r="X95" s="4">
        <v>1</v>
      </c>
      <c r="Y95" s="4">
        <v>43243.68</v>
      </c>
      <c r="Z95" s="4"/>
      <c r="AA95" s="4"/>
      <c r="AB95" s="4"/>
    </row>
    <row r="96" spans="1:28" x14ac:dyDescent="0.25">
      <c r="A96" s="4">
        <v>50</v>
      </c>
      <c r="B96" s="4">
        <v>0</v>
      </c>
      <c r="C96" s="4">
        <v>0</v>
      </c>
      <c r="D96" s="4">
        <v>1</v>
      </c>
      <c r="E96" s="4">
        <v>211</v>
      </c>
      <c r="F96" s="4">
        <f>ROUND(Source!Y69,O96)</f>
        <v>11359.53</v>
      </c>
      <c r="G96" s="4" t="s">
        <v>84</v>
      </c>
      <c r="H96" s="4" t="s">
        <v>85</v>
      </c>
      <c r="I96" s="4"/>
      <c r="J96" s="4"/>
      <c r="K96" s="4">
        <v>211</v>
      </c>
      <c r="L96" s="4">
        <v>26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6177.67</v>
      </c>
      <c r="X96" s="4">
        <v>1</v>
      </c>
      <c r="Y96" s="4">
        <v>6177.67</v>
      </c>
      <c r="Z96" s="4"/>
      <c r="AA96" s="4"/>
      <c r="AB96" s="4"/>
    </row>
    <row r="97" spans="1:245" x14ac:dyDescent="0.25">
      <c r="A97" s="4">
        <v>50</v>
      </c>
      <c r="B97" s="4">
        <v>0</v>
      </c>
      <c r="C97" s="4">
        <v>0</v>
      </c>
      <c r="D97" s="4">
        <v>1</v>
      </c>
      <c r="E97" s="4">
        <v>224</v>
      </c>
      <c r="F97" s="4">
        <f>ROUND(Source!AR69,O97)</f>
        <v>204471.59</v>
      </c>
      <c r="G97" s="4" t="s">
        <v>86</v>
      </c>
      <c r="H97" s="4" t="s">
        <v>87</v>
      </c>
      <c r="I97" s="4"/>
      <c r="J97" s="4"/>
      <c r="K97" s="4">
        <v>224</v>
      </c>
      <c r="L97" s="4">
        <v>27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111198.03</v>
      </c>
      <c r="X97" s="4">
        <v>1</v>
      </c>
      <c r="Y97" s="4">
        <v>111198.03</v>
      </c>
      <c r="Z97" s="4"/>
      <c r="AA97" s="4"/>
      <c r="AB97" s="4"/>
    </row>
    <row r="99" spans="1:245" x14ac:dyDescent="0.25">
      <c r="A99" s="1">
        <v>4</v>
      </c>
      <c r="B99" s="1">
        <v>1</v>
      </c>
      <c r="C99" s="1"/>
      <c r="D99" s="1">
        <f>ROW(A106)</f>
        <v>106</v>
      </c>
      <c r="E99" s="1"/>
      <c r="F99" s="1" t="s">
        <v>3</v>
      </c>
      <c r="G99" s="1" t="s">
        <v>175</v>
      </c>
      <c r="H99" s="1" t="s">
        <v>3</v>
      </c>
      <c r="I99" s="1">
        <v>0</v>
      </c>
      <c r="J99" s="1"/>
      <c r="K99" s="1">
        <v>-1</v>
      </c>
      <c r="L99" s="1"/>
      <c r="M99" s="1" t="s">
        <v>3</v>
      </c>
      <c r="N99" s="1"/>
      <c r="O99" s="1"/>
      <c r="P99" s="1"/>
      <c r="Q99" s="1"/>
      <c r="R99" s="1"/>
      <c r="S99" s="1">
        <v>0</v>
      </c>
      <c r="T99" s="1"/>
      <c r="U99" s="1" t="s">
        <v>3</v>
      </c>
      <c r="V99" s="1">
        <v>0</v>
      </c>
      <c r="W99" s="1"/>
      <c r="X99" s="1"/>
      <c r="Y99" s="1"/>
      <c r="Z99" s="1"/>
      <c r="AA99" s="1"/>
      <c r="AB99" s="1" t="s">
        <v>3</v>
      </c>
      <c r="AC99" s="37" t="s">
        <v>3</v>
      </c>
      <c r="AD99" s="37" t="s">
        <v>3</v>
      </c>
      <c r="AE99" s="37" t="s">
        <v>3</v>
      </c>
      <c r="AF99" s="37" t="s">
        <v>3</v>
      </c>
      <c r="AG99" s="1" t="s">
        <v>3</v>
      </c>
      <c r="AH99" s="37"/>
      <c r="AI99" s="37"/>
      <c r="AJ99" s="1"/>
      <c r="AK99" s="1"/>
      <c r="AL99" s="1"/>
      <c r="AM99" s="1"/>
      <c r="AN99" s="1"/>
      <c r="AO99" s="1"/>
      <c r="AP99" s="1" t="s">
        <v>3</v>
      </c>
      <c r="AQ99" s="1" t="s">
        <v>3</v>
      </c>
      <c r="AR99" s="1" t="s">
        <v>3</v>
      </c>
      <c r="AS99" s="1"/>
      <c r="AT99" s="1"/>
      <c r="AU99" s="1"/>
      <c r="AV99" s="1"/>
      <c r="AW99" s="1"/>
      <c r="AX99" s="1"/>
      <c r="AY99" s="1"/>
      <c r="AZ99" s="1" t="s">
        <v>3</v>
      </c>
      <c r="BA99" s="1"/>
      <c r="BB99" s="1" t="s">
        <v>3</v>
      </c>
      <c r="BC99" s="1" t="s">
        <v>3</v>
      </c>
      <c r="BD99" s="1" t="s">
        <v>3</v>
      </c>
      <c r="BE99" s="1" t="s">
        <v>3</v>
      </c>
      <c r="BF99" s="1" t="s">
        <v>3</v>
      </c>
      <c r="BG99" s="1" t="s">
        <v>3</v>
      </c>
      <c r="BH99" s="1" t="s">
        <v>3</v>
      </c>
      <c r="BI99" s="1" t="s">
        <v>3</v>
      </c>
      <c r="BJ99" s="1" t="s">
        <v>3</v>
      </c>
      <c r="BK99" s="1" t="s">
        <v>3</v>
      </c>
      <c r="BL99" s="1" t="s">
        <v>3</v>
      </c>
      <c r="BM99" s="1" t="s">
        <v>3</v>
      </c>
      <c r="BN99" s="1" t="s">
        <v>3</v>
      </c>
      <c r="BO99" s="1" t="s">
        <v>3</v>
      </c>
      <c r="BP99" s="1" t="s">
        <v>3</v>
      </c>
      <c r="BQ99" s="1"/>
      <c r="BR99" s="1"/>
      <c r="BS99" s="1"/>
      <c r="BT99" s="1"/>
      <c r="BU99" s="1"/>
      <c r="BV99" s="1"/>
      <c r="BW99" s="1"/>
      <c r="BX99" s="1">
        <v>0</v>
      </c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>
        <v>0</v>
      </c>
    </row>
    <row r="101" spans="1:245" x14ac:dyDescent="0.25">
      <c r="A101" s="2">
        <v>52</v>
      </c>
      <c r="B101" s="2">
        <f t="shared" ref="B101:G101" si="36">B106</f>
        <v>1</v>
      </c>
      <c r="C101" s="2">
        <f t="shared" si="36"/>
        <v>4</v>
      </c>
      <c r="D101" s="2">
        <f t="shared" si="36"/>
        <v>99</v>
      </c>
      <c r="E101" s="2">
        <f t="shared" si="36"/>
        <v>0</v>
      </c>
      <c r="F101" s="2" t="str">
        <f t="shared" si="36"/>
        <v/>
      </c>
      <c r="G101" s="2" t="str">
        <f t="shared" si="36"/>
        <v>Скол сосулек с крыш и перемещение снега.</v>
      </c>
      <c r="H101" s="2"/>
      <c r="I101" s="2"/>
      <c r="J101" s="2"/>
      <c r="K101" s="2"/>
      <c r="L101" s="2"/>
      <c r="M101" s="2"/>
      <c r="N101" s="2"/>
      <c r="O101" s="2">
        <f t="shared" ref="O101:AT101" si="37">O106</f>
        <v>12124019.460000001</v>
      </c>
      <c r="P101" s="2">
        <f t="shared" si="37"/>
        <v>0</v>
      </c>
      <c r="Q101" s="2">
        <f t="shared" si="37"/>
        <v>9307168.5</v>
      </c>
      <c r="R101" s="2">
        <f t="shared" si="37"/>
        <v>4649299.62</v>
      </c>
      <c r="S101" s="2">
        <f t="shared" si="37"/>
        <v>2816850.96</v>
      </c>
      <c r="T101" s="2">
        <f t="shared" si="37"/>
        <v>0</v>
      </c>
      <c r="U101" s="2">
        <f t="shared" si="37"/>
        <v>7148.8675999999987</v>
      </c>
      <c r="V101" s="2">
        <f t="shared" si="37"/>
        <v>0</v>
      </c>
      <c r="W101" s="2">
        <f t="shared" si="37"/>
        <v>0</v>
      </c>
      <c r="X101" s="2">
        <f t="shared" si="37"/>
        <v>1971795.68</v>
      </c>
      <c r="Y101" s="2">
        <f t="shared" si="37"/>
        <v>281685.09999999998</v>
      </c>
      <c r="Z101" s="2">
        <f t="shared" si="37"/>
        <v>0</v>
      </c>
      <c r="AA101" s="2">
        <f t="shared" si="37"/>
        <v>0</v>
      </c>
      <c r="AB101" s="2">
        <f t="shared" si="37"/>
        <v>12124019.460000001</v>
      </c>
      <c r="AC101" s="38">
        <f t="shared" si="37"/>
        <v>0</v>
      </c>
      <c r="AD101" s="38">
        <f t="shared" si="37"/>
        <v>9307168.5</v>
      </c>
      <c r="AE101" s="38">
        <f t="shared" si="37"/>
        <v>4649299.62</v>
      </c>
      <c r="AF101" s="38">
        <f t="shared" si="37"/>
        <v>2816850.96</v>
      </c>
      <c r="AG101" s="2">
        <f t="shared" si="37"/>
        <v>0</v>
      </c>
      <c r="AH101" s="38">
        <f t="shared" si="37"/>
        <v>7148.8675999999987</v>
      </c>
      <c r="AI101" s="38">
        <f t="shared" si="37"/>
        <v>0</v>
      </c>
      <c r="AJ101" s="2">
        <f t="shared" si="37"/>
        <v>0</v>
      </c>
      <c r="AK101" s="2">
        <f t="shared" si="37"/>
        <v>1971795.68</v>
      </c>
      <c r="AL101" s="2">
        <f t="shared" si="37"/>
        <v>281685.09999999998</v>
      </c>
      <c r="AM101" s="2">
        <f t="shared" si="37"/>
        <v>0</v>
      </c>
      <c r="AN101" s="2">
        <f t="shared" si="37"/>
        <v>0</v>
      </c>
      <c r="AO101" s="2">
        <f t="shared" si="37"/>
        <v>0</v>
      </c>
      <c r="AP101" s="2">
        <f t="shared" si="37"/>
        <v>0</v>
      </c>
      <c r="AQ101" s="2">
        <f t="shared" si="37"/>
        <v>0</v>
      </c>
      <c r="AR101" s="2">
        <f t="shared" si="37"/>
        <v>19398743.829999998</v>
      </c>
      <c r="AS101" s="2">
        <f t="shared" si="37"/>
        <v>0</v>
      </c>
      <c r="AT101" s="2">
        <f t="shared" si="37"/>
        <v>0</v>
      </c>
      <c r="AU101" s="2">
        <f t="shared" ref="AU101:BZ101" si="38">AU106</f>
        <v>19398743.829999998</v>
      </c>
      <c r="AV101" s="2">
        <f t="shared" si="38"/>
        <v>0</v>
      </c>
      <c r="AW101" s="2">
        <f t="shared" si="38"/>
        <v>0</v>
      </c>
      <c r="AX101" s="2">
        <f t="shared" si="38"/>
        <v>0</v>
      </c>
      <c r="AY101" s="2">
        <f t="shared" si="38"/>
        <v>0</v>
      </c>
      <c r="AZ101" s="2">
        <f t="shared" si="38"/>
        <v>0</v>
      </c>
      <c r="BA101" s="2">
        <f t="shared" si="38"/>
        <v>0</v>
      </c>
      <c r="BB101" s="2">
        <f t="shared" si="38"/>
        <v>0</v>
      </c>
      <c r="BC101" s="2">
        <f t="shared" si="38"/>
        <v>0</v>
      </c>
      <c r="BD101" s="2">
        <f t="shared" si="38"/>
        <v>0</v>
      </c>
      <c r="BE101" s="2">
        <f t="shared" si="38"/>
        <v>0</v>
      </c>
      <c r="BF101" s="2">
        <f t="shared" si="38"/>
        <v>0</v>
      </c>
      <c r="BG101" s="2">
        <f t="shared" si="38"/>
        <v>0</v>
      </c>
      <c r="BH101" s="2">
        <f t="shared" si="38"/>
        <v>0</v>
      </c>
      <c r="BI101" s="2">
        <f t="shared" si="38"/>
        <v>0</v>
      </c>
      <c r="BJ101" s="2">
        <f t="shared" si="38"/>
        <v>0</v>
      </c>
      <c r="BK101" s="2">
        <f t="shared" si="38"/>
        <v>0</v>
      </c>
      <c r="BL101" s="2">
        <f t="shared" si="38"/>
        <v>0</v>
      </c>
      <c r="BM101" s="2">
        <f t="shared" si="38"/>
        <v>0</v>
      </c>
      <c r="BN101" s="2">
        <f t="shared" si="38"/>
        <v>0</v>
      </c>
      <c r="BO101" s="2">
        <f t="shared" si="38"/>
        <v>0</v>
      </c>
      <c r="BP101" s="2">
        <f t="shared" si="38"/>
        <v>0</v>
      </c>
      <c r="BQ101" s="2">
        <f t="shared" si="38"/>
        <v>0</v>
      </c>
      <c r="BR101" s="2">
        <f t="shared" si="38"/>
        <v>0</v>
      </c>
      <c r="BS101" s="2">
        <f t="shared" si="38"/>
        <v>0</v>
      </c>
      <c r="BT101" s="2">
        <f t="shared" si="38"/>
        <v>0</v>
      </c>
      <c r="BU101" s="2">
        <f t="shared" si="38"/>
        <v>0</v>
      </c>
      <c r="BV101" s="2">
        <f t="shared" si="38"/>
        <v>0</v>
      </c>
      <c r="BW101" s="2">
        <f t="shared" si="38"/>
        <v>0</v>
      </c>
      <c r="BX101" s="2">
        <f t="shared" si="38"/>
        <v>0</v>
      </c>
      <c r="BY101" s="2">
        <f t="shared" si="38"/>
        <v>0</v>
      </c>
      <c r="BZ101" s="2">
        <f t="shared" si="38"/>
        <v>0</v>
      </c>
      <c r="CA101" s="2">
        <f t="shared" ref="CA101:DF101" si="39">CA106</f>
        <v>19398743.829999998</v>
      </c>
      <c r="CB101" s="2">
        <f t="shared" si="39"/>
        <v>0</v>
      </c>
      <c r="CC101" s="2">
        <f t="shared" si="39"/>
        <v>0</v>
      </c>
      <c r="CD101" s="2">
        <f t="shared" si="39"/>
        <v>19398743.829999998</v>
      </c>
      <c r="CE101" s="2">
        <f t="shared" si="39"/>
        <v>0</v>
      </c>
      <c r="CF101" s="2">
        <f t="shared" si="39"/>
        <v>0</v>
      </c>
      <c r="CG101" s="2">
        <f t="shared" si="39"/>
        <v>0</v>
      </c>
      <c r="CH101" s="2">
        <f t="shared" si="39"/>
        <v>0</v>
      </c>
      <c r="CI101" s="2">
        <f t="shared" si="39"/>
        <v>0</v>
      </c>
      <c r="CJ101" s="2">
        <f t="shared" si="39"/>
        <v>0</v>
      </c>
      <c r="CK101" s="2">
        <f t="shared" si="39"/>
        <v>0</v>
      </c>
      <c r="CL101" s="2">
        <f t="shared" si="39"/>
        <v>0</v>
      </c>
      <c r="CM101" s="2">
        <f t="shared" si="39"/>
        <v>0</v>
      </c>
      <c r="CN101" s="2">
        <f t="shared" si="39"/>
        <v>0</v>
      </c>
      <c r="CO101" s="2">
        <f t="shared" si="39"/>
        <v>0</v>
      </c>
      <c r="CP101" s="2">
        <f t="shared" si="39"/>
        <v>0</v>
      </c>
      <c r="CQ101" s="2">
        <f t="shared" si="39"/>
        <v>0</v>
      </c>
      <c r="CR101" s="38">
        <f t="shared" si="39"/>
        <v>0</v>
      </c>
      <c r="CS101" s="2">
        <f t="shared" si="39"/>
        <v>0</v>
      </c>
      <c r="CT101" s="2">
        <f t="shared" si="39"/>
        <v>0</v>
      </c>
      <c r="CU101" s="2">
        <f t="shared" si="39"/>
        <v>0</v>
      </c>
      <c r="CV101" s="2">
        <f t="shared" si="39"/>
        <v>0</v>
      </c>
      <c r="CW101" s="2">
        <f t="shared" si="39"/>
        <v>0</v>
      </c>
      <c r="CX101" s="2">
        <f t="shared" si="39"/>
        <v>0</v>
      </c>
      <c r="CY101" s="2">
        <f t="shared" si="39"/>
        <v>0</v>
      </c>
      <c r="CZ101" s="2">
        <f t="shared" si="39"/>
        <v>0</v>
      </c>
      <c r="DA101" s="2">
        <f t="shared" si="39"/>
        <v>0</v>
      </c>
      <c r="DB101" s="2">
        <f t="shared" si="39"/>
        <v>0</v>
      </c>
      <c r="DC101" s="2">
        <f t="shared" si="39"/>
        <v>0</v>
      </c>
      <c r="DD101" s="2">
        <f t="shared" si="39"/>
        <v>0</v>
      </c>
      <c r="DE101" s="2">
        <f t="shared" si="39"/>
        <v>0</v>
      </c>
      <c r="DF101" s="2">
        <f t="shared" si="39"/>
        <v>0</v>
      </c>
      <c r="DG101" s="3">
        <f t="shared" ref="DG101:EL101" si="40">DG106</f>
        <v>0</v>
      </c>
      <c r="DH101" s="3">
        <f t="shared" si="40"/>
        <v>0</v>
      </c>
      <c r="DI101" s="3">
        <f t="shared" si="40"/>
        <v>0</v>
      </c>
      <c r="DJ101" s="3">
        <f t="shared" si="40"/>
        <v>0</v>
      </c>
      <c r="DK101" s="3">
        <f t="shared" si="40"/>
        <v>0</v>
      </c>
      <c r="DL101" s="3">
        <f t="shared" si="40"/>
        <v>0</v>
      </c>
      <c r="DM101" s="3">
        <f t="shared" si="40"/>
        <v>0</v>
      </c>
      <c r="DN101" s="3">
        <f t="shared" si="40"/>
        <v>0</v>
      </c>
      <c r="DO101" s="3">
        <f t="shared" si="40"/>
        <v>0</v>
      </c>
      <c r="DP101" s="3">
        <f t="shared" si="40"/>
        <v>0</v>
      </c>
      <c r="DQ101" s="3">
        <f t="shared" si="40"/>
        <v>0</v>
      </c>
      <c r="DR101" s="3">
        <f t="shared" si="40"/>
        <v>0</v>
      </c>
      <c r="DS101" s="3">
        <f t="shared" si="40"/>
        <v>0</v>
      </c>
      <c r="DT101" s="3">
        <f t="shared" si="40"/>
        <v>0</v>
      </c>
      <c r="DU101" s="3">
        <f t="shared" si="40"/>
        <v>0</v>
      </c>
      <c r="DV101" s="3">
        <f t="shared" si="40"/>
        <v>0</v>
      </c>
      <c r="DW101" s="3">
        <f t="shared" si="40"/>
        <v>0</v>
      </c>
      <c r="DX101" s="3">
        <f t="shared" si="40"/>
        <v>0</v>
      </c>
      <c r="DY101" s="3">
        <f t="shared" si="40"/>
        <v>0</v>
      </c>
      <c r="DZ101" s="3">
        <f t="shared" si="40"/>
        <v>0</v>
      </c>
      <c r="EA101" s="3">
        <f t="shared" si="40"/>
        <v>0</v>
      </c>
      <c r="EB101" s="3">
        <f t="shared" si="40"/>
        <v>0</v>
      </c>
      <c r="EC101" s="3">
        <f t="shared" si="40"/>
        <v>0</v>
      </c>
      <c r="ED101" s="3">
        <f t="shared" si="40"/>
        <v>0</v>
      </c>
      <c r="EE101" s="3">
        <f t="shared" si="40"/>
        <v>0</v>
      </c>
      <c r="EF101" s="3">
        <f t="shared" si="40"/>
        <v>0</v>
      </c>
      <c r="EG101" s="3">
        <f t="shared" si="40"/>
        <v>0</v>
      </c>
      <c r="EH101" s="3">
        <f t="shared" si="40"/>
        <v>0</v>
      </c>
      <c r="EI101" s="3">
        <f t="shared" si="40"/>
        <v>0</v>
      </c>
      <c r="EJ101" s="3">
        <f t="shared" si="40"/>
        <v>0</v>
      </c>
      <c r="EK101" s="3">
        <f t="shared" si="40"/>
        <v>0</v>
      </c>
      <c r="EL101" s="3">
        <f t="shared" si="40"/>
        <v>0</v>
      </c>
      <c r="EM101" s="3">
        <f t="shared" ref="EM101:FR101" si="41">EM106</f>
        <v>0</v>
      </c>
      <c r="EN101" s="3">
        <f t="shared" si="41"/>
        <v>0</v>
      </c>
      <c r="EO101" s="3">
        <f t="shared" si="41"/>
        <v>0</v>
      </c>
      <c r="EP101" s="3">
        <f t="shared" si="41"/>
        <v>0</v>
      </c>
      <c r="EQ101" s="3">
        <f t="shared" si="41"/>
        <v>0</v>
      </c>
      <c r="ER101" s="3">
        <f t="shared" si="41"/>
        <v>0</v>
      </c>
      <c r="ES101" s="3">
        <f t="shared" si="41"/>
        <v>0</v>
      </c>
      <c r="ET101" s="3">
        <f t="shared" si="41"/>
        <v>0</v>
      </c>
      <c r="EU101" s="3">
        <f t="shared" si="41"/>
        <v>0</v>
      </c>
      <c r="EV101" s="3">
        <f t="shared" si="41"/>
        <v>0</v>
      </c>
      <c r="EW101" s="3">
        <f t="shared" si="41"/>
        <v>0</v>
      </c>
      <c r="EX101" s="3">
        <f t="shared" si="41"/>
        <v>0</v>
      </c>
      <c r="EY101" s="3">
        <f t="shared" si="41"/>
        <v>0</v>
      </c>
      <c r="EZ101" s="3">
        <f t="shared" si="41"/>
        <v>0</v>
      </c>
      <c r="FA101" s="3">
        <f t="shared" si="41"/>
        <v>0</v>
      </c>
      <c r="FB101" s="3">
        <f t="shared" si="41"/>
        <v>0</v>
      </c>
      <c r="FC101" s="3">
        <f t="shared" si="41"/>
        <v>0</v>
      </c>
      <c r="FD101" s="3">
        <f t="shared" si="41"/>
        <v>0</v>
      </c>
      <c r="FE101" s="3">
        <f t="shared" si="41"/>
        <v>0</v>
      </c>
      <c r="FF101" s="3">
        <f t="shared" si="41"/>
        <v>0</v>
      </c>
      <c r="FG101" s="3">
        <f t="shared" si="41"/>
        <v>0</v>
      </c>
      <c r="FH101" s="3">
        <f t="shared" si="41"/>
        <v>0</v>
      </c>
      <c r="FI101" s="3">
        <f t="shared" si="41"/>
        <v>0</v>
      </c>
      <c r="FJ101" s="3">
        <f t="shared" si="41"/>
        <v>0</v>
      </c>
      <c r="FK101" s="3">
        <f t="shared" si="41"/>
        <v>0</v>
      </c>
      <c r="FL101" s="3">
        <f t="shared" si="41"/>
        <v>0</v>
      </c>
      <c r="FM101" s="3">
        <f t="shared" si="41"/>
        <v>0</v>
      </c>
      <c r="FN101" s="3">
        <f t="shared" si="41"/>
        <v>0</v>
      </c>
      <c r="FO101" s="3">
        <f t="shared" si="41"/>
        <v>0</v>
      </c>
      <c r="FP101" s="3">
        <f t="shared" si="41"/>
        <v>0</v>
      </c>
      <c r="FQ101" s="3">
        <f t="shared" si="41"/>
        <v>0</v>
      </c>
      <c r="FR101" s="3">
        <f t="shared" si="41"/>
        <v>0</v>
      </c>
      <c r="FS101" s="3">
        <f t="shared" ref="FS101:GX101" si="42">FS106</f>
        <v>0</v>
      </c>
      <c r="FT101" s="3">
        <f t="shared" si="42"/>
        <v>0</v>
      </c>
      <c r="FU101" s="3">
        <f t="shared" si="42"/>
        <v>0</v>
      </c>
      <c r="FV101" s="3">
        <f t="shared" si="42"/>
        <v>0</v>
      </c>
      <c r="FW101" s="3">
        <f t="shared" si="42"/>
        <v>0</v>
      </c>
      <c r="FX101" s="3">
        <f t="shared" si="42"/>
        <v>0</v>
      </c>
      <c r="FY101" s="3">
        <f t="shared" si="42"/>
        <v>0</v>
      </c>
      <c r="FZ101" s="3">
        <f t="shared" si="42"/>
        <v>0</v>
      </c>
      <c r="GA101" s="3">
        <f t="shared" si="42"/>
        <v>0</v>
      </c>
      <c r="GB101" s="3">
        <f t="shared" si="42"/>
        <v>0</v>
      </c>
      <c r="GC101" s="3">
        <f t="shared" si="42"/>
        <v>0</v>
      </c>
      <c r="GD101" s="3">
        <f t="shared" si="42"/>
        <v>0</v>
      </c>
      <c r="GE101" s="3">
        <f t="shared" si="42"/>
        <v>0</v>
      </c>
      <c r="GF101" s="3">
        <f t="shared" si="42"/>
        <v>0</v>
      </c>
      <c r="GG101" s="3">
        <f t="shared" si="42"/>
        <v>0</v>
      </c>
      <c r="GH101" s="3">
        <f t="shared" si="42"/>
        <v>0</v>
      </c>
      <c r="GI101" s="3">
        <f t="shared" si="42"/>
        <v>0</v>
      </c>
      <c r="GJ101" s="3">
        <f t="shared" si="42"/>
        <v>0</v>
      </c>
      <c r="GK101" s="3">
        <f t="shared" si="42"/>
        <v>0</v>
      </c>
      <c r="GL101" s="3">
        <f t="shared" si="42"/>
        <v>0</v>
      </c>
      <c r="GM101" s="3">
        <f t="shared" si="42"/>
        <v>0</v>
      </c>
      <c r="GN101" s="3">
        <f t="shared" si="42"/>
        <v>0</v>
      </c>
      <c r="GO101" s="3">
        <f t="shared" si="42"/>
        <v>0</v>
      </c>
      <c r="GP101" s="3">
        <f t="shared" si="42"/>
        <v>0</v>
      </c>
      <c r="GQ101" s="3">
        <f t="shared" si="42"/>
        <v>0</v>
      </c>
      <c r="GR101" s="3">
        <f t="shared" si="42"/>
        <v>0</v>
      </c>
      <c r="GS101" s="3">
        <f t="shared" si="42"/>
        <v>0</v>
      </c>
      <c r="GT101" s="3">
        <f t="shared" si="42"/>
        <v>0</v>
      </c>
      <c r="GU101" s="3">
        <f t="shared" si="42"/>
        <v>0</v>
      </c>
      <c r="GV101" s="3">
        <f t="shared" si="42"/>
        <v>0</v>
      </c>
      <c r="GW101" s="3">
        <f t="shared" si="42"/>
        <v>0</v>
      </c>
      <c r="GX101" s="3">
        <f t="shared" si="42"/>
        <v>0</v>
      </c>
    </row>
    <row r="103" spans="1:245" x14ac:dyDescent="0.25">
      <c r="A103">
        <v>17</v>
      </c>
      <c r="B103">
        <v>1</v>
      </c>
      <c r="C103">
        <f>ROW(SmtRes!A8)</f>
        <v>8</v>
      </c>
      <c r="D103">
        <f>ROW(EtalonRes!A8)</f>
        <v>8</v>
      </c>
      <c r="E103" t="s">
        <v>93</v>
      </c>
      <c r="F103" t="s">
        <v>94</v>
      </c>
      <c r="G103" t="s">
        <v>95</v>
      </c>
      <c r="H103" t="s">
        <v>96</v>
      </c>
      <c r="I103">
        <f>ROUND((3696)/100,9)</f>
        <v>36.96</v>
      </c>
      <c r="J103">
        <v>0</v>
      </c>
      <c r="K103">
        <f>ROUND((3696)/100,9)</f>
        <v>36.96</v>
      </c>
      <c r="O103">
        <f>ROUND(CP103,2)</f>
        <v>503309.45</v>
      </c>
      <c r="P103">
        <f>ROUND(CQ103*I103,2)</f>
        <v>0</v>
      </c>
      <c r="Q103">
        <f>ROUND(CR103*I103,2)</f>
        <v>0</v>
      </c>
      <c r="R103">
        <f>ROUND(CS103*I103,2)</f>
        <v>0</v>
      </c>
      <c r="S103">
        <f>ROUND(CT103*I103,2)</f>
        <v>503309.45</v>
      </c>
      <c r="T103">
        <f>ROUND(CU103*I103,2)</f>
        <v>0</v>
      </c>
      <c r="U103">
        <f>CV103*I103</f>
        <v>1277.3376000000001</v>
      </c>
      <c r="V103">
        <f>CW103*I103</f>
        <v>0</v>
      </c>
      <c r="W103">
        <f>ROUND(CX103*I103,2)</f>
        <v>0</v>
      </c>
      <c r="X103">
        <f>ROUND(CY103,2)</f>
        <v>352316.62</v>
      </c>
      <c r="Y103">
        <f>ROUND(CZ103,2)</f>
        <v>50330.95</v>
      </c>
      <c r="AA103">
        <v>75447910</v>
      </c>
      <c r="AB103">
        <f>ROUND((AC103+AD103+AF103),6)</f>
        <v>13617.68</v>
      </c>
      <c r="AC103" s="36">
        <f>ROUND(((ES103*8)),6)</f>
        <v>0</v>
      </c>
      <c r="AD103" s="36">
        <f>ROUND(((((ET103*8))-((EU103*8)))+AE103),6)</f>
        <v>0</v>
      </c>
      <c r="AE103" s="36">
        <f>ROUND(((EU103*8)),6)</f>
        <v>0</v>
      </c>
      <c r="AF103" s="36">
        <f>ROUND(((EV103*8)),6)</f>
        <v>13617.68</v>
      </c>
      <c r="AG103">
        <f>ROUND((AP103),6)</f>
        <v>0</v>
      </c>
      <c r="AH103" s="36">
        <f>((EW103*8))</f>
        <v>34.56</v>
      </c>
      <c r="AI103" s="36">
        <f>((EX103*8))</f>
        <v>0</v>
      </c>
      <c r="AJ103">
        <f>(AS103)</f>
        <v>0</v>
      </c>
      <c r="AK103">
        <v>1702.21</v>
      </c>
      <c r="AL103">
        <v>0</v>
      </c>
      <c r="AM103">
        <v>0</v>
      </c>
      <c r="AN103">
        <v>0</v>
      </c>
      <c r="AO103">
        <v>1702.21</v>
      </c>
      <c r="AP103">
        <v>0</v>
      </c>
      <c r="AQ103">
        <v>4.32</v>
      </c>
      <c r="AR103">
        <v>0</v>
      </c>
      <c r="AS103">
        <v>0</v>
      </c>
      <c r="AT103">
        <v>70</v>
      </c>
      <c r="AU103">
        <v>10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</v>
      </c>
      <c r="BD103" t="s">
        <v>3</v>
      </c>
      <c r="BE103" t="s">
        <v>3</v>
      </c>
      <c r="BF103" t="s">
        <v>3</v>
      </c>
      <c r="BG103" t="s">
        <v>3</v>
      </c>
      <c r="BH103">
        <v>0</v>
      </c>
      <c r="BI103">
        <v>4</v>
      </c>
      <c r="BJ103" t="s">
        <v>97</v>
      </c>
      <c r="BM103">
        <v>0</v>
      </c>
      <c r="BN103">
        <v>0</v>
      </c>
      <c r="BO103" t="s">
        <v>3</v>
      </c>
      <c r="BP103">
        <v>0</v>
      </c>
      <c r="BQ103">
        <v>1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70</v>
      </c>
      <c r="CA103">
        <v>10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>(P103+Q103+S103)</f>
        <v>503309.45</v>
      </c>
      <c r="CQ103">
        <f>(AC103*BC103*AW103)</f>
        <v>0</v>
      </c>
      <c r="CR103" s="36">
        <f>(((((ET103*8))*BB103-((EU103*8))*BS103)+AE103*BS103)*AV103)</f>
        <v>0</v>
      </c>
      <c r="CS103">
        <f>(AE103*BS103*AV103)</f>
        <v>0</v>
      </c>
      <c r="CT103">
        <f>(AF103*BA103*AV103)</f>
        <v>13617.68</v>
      </c>
      <c r="CU103">
        <f>AG103</f>
        <v>0</v>
      </c>
      <c r="CV103">
        <f>(AH103*AV103)</f>
        <v>34.56</v>
      </c>
      <c r="CW103">
        <f>AI103</f>
        <v>0</v>
      </c>
      <c r="CX103">
        <f>AJ103</f>
        <v>0</v>
      </c>
      <c r="CY103">
        <f>((S103*BZ103)/100)</f>
        <v>352316.61499999999</v>
      </c>
      <c r="CZ103">
        <f>((S103*CA103)/100)</f>
        <v>50330.945</v>
      </c>
      <c r="DC103" t="s">
        <v>3</v>
      </c>
      <c r="DD103" t="s">
        <v>178</v>
      </c>
      <c r="DE103" t="s">
        <v>178</v>
      </c>
      <c r="DF103" t="s">
        <v>178</v>
      </c>
      <c r="DG103" t="s">
        <v>178</v>
      </c>
      <c r="DH103" t="s">
        <v>3</v>
      </c>
      <c r="DI103" t="s">
        <v>178</v>
      </c>
      <c r="DJ103" t="s">
        <v>178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1003</v>
      </c>
      <c r="DV103" t="s">
        <v>96</v>
      </c>
      <c r="DW103" t="s">
        <v>96</v>
      </c>
      <c r="DX103">
        <v>100</v>
      </c>
      <c r="DZ103" t="s">
        <v>3</v>
      </c>
      <c r="EA103" t="s">
        <v>3</v>
      </c>
      <c r="EB103" t="s">
        <v>3</v>
      </c>
      <c r="EC103" t="s">
        <v>3</v>
      </c>
      <c r="EE103">
        <v>75550794</v>
      </c>
      <c r="EF103">
        <v>1</v>
      </c>
      <c r="EG103" t="s">
        <v>18</v>
      </c>
      <c r="EH103">
        <v>0</v>
      </c>
      <c r="EI103" t="s">
        <v>3</v>
      </c>
      <c r="EJ103">
        <v>4</v>
      </c>
      <c r="EK103">
        <v>0</v>
      </c>
      <c r="EL103" t="s">
        <v>19</v>
      </c>
      <c r="EM103" t="s">
        <v>20</v>
      </c>
      <c r="EO103" t="s">
        <v>3</v>
      </c>
      <c r="EQ103">
        <v>0</v>
      </c>
      <c r="ER103">
        <v>1702.21</v>
      </c>
      <c r="ES103">
        <v>0</v>
      </c>
      <c r="ET103">
        <v>0</v>
      </c>
      <c r="EU103">
        <v>0</v>
      </c>
      <c r="EV103">
        <v>1702.21</v>
      </c>
      <c r="EW103">
        <v>4.32</v>
      </c>
      <c r="EX103">
        <v>0</v>
      </c>
      <c r="EY103">
        <v>0</v>
      </c>
      <c r="FQ103">
        <v>0</v>
      </c>
      <c r="FR103">
        <f>ROUND(IF(BI103=3,GM103,0),2)</f>
        <v>0</v>
      </c>
      <c r="FS103">
        <v>0</v>
      </c>
      <c r="FX103">
        <v>70</v>
      </c>
      <c r="FY103">
        <v>10</v>
      </c>
      <c r="GA103" t="s">
        <v>3</v>
      </c>
      <c r="GD103">
        <v>0</v>
      </c>
      <c r="GF103">
        <v>145978967</v>
      </c>
      <c r="GG103">
        <v>2</v>
      </c>
      <c r="GH103">
        <v>1</v>
      </c>
      <c r="GI103">
        <v>-2</v>
      </c>
      <c r="GJ103">
        <v>0</v>
      </c>
      <c r="GK103">
        <f>ROUND(R103*(R12)/100,2)</f>
        <v>0</v>
      </c>
      <c r="GL103">
        <f>ROUND(IF(AND(BH103=3,BI103=3,FS103&lt;&gt;0),P103,0),2)</f>
        <v>0</v>
      </c>
      <c r="GM103">
        <f>ROUND(O103+X103+Y103+GK103,2)+GX103</f>
        <v>905957.02</v>
      </c>
      <c r="GN103">
        <f>IF(OR(BI103=0,BI103=1),GM103-GX103,0)</f>
        <v>0</v>
      </c>
      <c r="GO103">
        <f>IF(BI103=2,GM103-GX103,0)</f>
        <v>0</v>
      </c>
      <c r="GP103">
        <f>IF(BI103=4,GM103-GX103,0)</f>
        <v>905957.02</v>
      </c>
      <c r="GR103">
        <v>0</v>
      </c>
      <c r="GS103">
        <v>3</v>
      </c>
      <c r="GT103">
        <v>0</v>
      </c>
      <c r="GU103" t="s">
        <v>3</v>
      </c>
      <c r="GV103">
        <f>ROUND((GT103),6)</f>
        <v>0</v>
      </c>
      <c r="GW103">
        <v>1</v>
      </c>
      <c r="GX103">
        <f>ROUND(HC103*I103,2)</f>
        <v>0</v>
      </c>
      <c r="HA103">
        <v>0</v>
      </c>
      <c r="HB103">
        <v>0</v>
      </c>
      <c r="HC103">
        <f>GV103*GW103</f>
        <v>0</v>
      </c>
      <c r="HE103" t="s">
        <v>3</v>
      </c>
      <c r="HF103" t="s">
        <v>3</v>
      </c>
      <c r="HM103" t="s">
        <v>3</v>
      </c>
      <c r="HN103" t="s">
        <v>3</v>
      </c>
      <c r="HO103" t="s">
        <v>3</v>
      </c>
      <c r="HP103" t="s">
        <v>3</v>
      </c>
      <c r="HQ103" t="s">
        <v>3</v>
      </c>
      <c r="IK103">
        <v>0</v>
      </c>
    </row>
    <row r="104" spans="1:245" x14ac:dyDescent="0.25">
      <c r="A104">
        <v>17</v>
      </c>
      <c r="B104">
        <v>1</v>
      </c>
      <c r="C104">
        <f>ROW(SmtRes!A10)</f>
        <v>10</v>
      </c>
      <c r="D104">
        <f>ROW(EtalonRes!A10)</f>
        <v>10</v>
      </c>
      <c r="E104" t="s">
        <v>98</v>
      </c>
      <c r="F104" t="s">
        <v>99</v>
      </c>
      <c r="G104" t="s">
        <v>100</v>
      </c>
      <c r="H104" t="s">
        <v>101</v>
      </c>
      <c r="I104" s="39">
        <f>56675*0.8*0.35</f>
        <v>15868.999999999998</v>
      </c>
      <c r="J104">
        <v>0</v>
      </c>
      <c r="K104">
        <f>54515*0.3*0.35</f>
        <v>5724.0749999999998</v>
      </c>
      <c r="O104">
        <f>ROUND(CP104,2)</f>
        <v>11620710.01</v>
      </c>
      <c r="P104">
        <f>ROUND(CQ104*I104,2)</f>
        <v>0</v>
      </c>
      <c r="Q104">
        <f>ROUND(CR104*I104,2)</f>
        <v>9307168.5</v>
      </c>
      <c r="R104">
        <f>ROUND(CS104*I104,2)</f>
        <v>4649299.62</v>
      </c>
      <c r="S104">
        <f>ROUND(CT104*I104,2)</f>
        <v>2313541.5099999998</v>
      </c>
      <c r="T104">
        <f>ROUND(CU104*I104,2)</f>
        <v>0</v>
      </c>
      <c r="U104">
        <f>CV104*I104</f>
        <v>5871.5299999999988</v>
      </c>
      <c r="V104">
        <f>CW104*I104</f>
        <v>0</v>
      </c>
      <c r="W104">
        <f>ROUND(CX104*I104,2)</f>
        <v>0</v>
      </c>
      <c r="X104">
        <f>ROUND(CY104,2)</f>
        <v>1619479.06</v>
      </c>
      <c r="Y104">
        <f>ROUND(CZ104,2)</f>
        <v>231354.15</v>
      </c>
      <c r="AA104">
        <v>75447910</v>
      </c>
      <c r="AB104">
        <f>ROUND((AC104+AD104+AF104),6)</f>
        <v>732.29</v>
      </c>
      <c r="AC104" s="36">
        <f>ROUND((ES104),6)</f>
        <v>0</v>
      </c>
      <c r="AD104" s="36">
        <f>ROUND((((ET104)-(EU104))+AE104),6)</f>
        <v>586.5</v>
      </c>
      <c r="AE104" s="36">
        <f>ROUND((EU104),6)</f>
        <v>292.98</v>
      </c>
      <c r="AF104" s="36">
        <f>ROUND((EV104),6)</f>
        <v>145.79</v>
      </c>
      <c r="AG104">
        <f>ROUND((AP104),6)</f>
        <v>0</v>
      </c>
      <c r="AH104" s="36">
        <f>(EW104)</f>
        <v>0.37</v>
      </c>
      <c r="AI104" s="36">
        <f>(EX104)</f>
        <v>0</v>
      </c>
      <c r="AJ104">
        <f>(AS104)</f>
        <v>0</v>
      </c>
      <c r="AK104">
        <v>732.29</v>
      </c>
      <c r="AL104">
        <v>0</v>
      </c>
      <c r="AM104">
        <v>586.5</v>
      </c>
      <c r="AN104">
        <v>292.98</v>
      </c>
      <c r="AO104">
        <v>145.79</v>
      </c>
      <c r="AP104">
        <v>0</v>
      </c>
      <c r="AQ104">
        <v>0.37</v>
      </c>
      <c r="AR104">
        <v>0</v>
      </c>
      <c r="AS104">
        <v>0</v>
      </c>
      <c r="AT104">
        <v>70</v>
      </c>
      <c r="AU104">
        <v>10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1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4</v>
      </c>
      <c r="BJ104" t="s">
        <v>102</v>
      </c>
      <c r="BM104">
        <v>0</v>
      </c>
      <c r="BN104">
        <v>0</v>
      </c>
      <c r="BO104" t="s">
        <v>3</v>
      </c>
      <c r="BP104">
        <v>0</v>
      </c>
      <c r="BQ104">
        <v>1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70</v>
      </c>
      <c r="CA104">
        <v>10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3</v>
      </c>
      <c r="CO104">
        <v>0</v>
      </c>
      <c r="CP104">
        <f>(P104+Q104+S104)</f>
        <v>11620710.01</v>
      </c>
      <c r="CQ104">
        <f>(AC104*BC104*AW104)</f>
        <v>0</v>
      </c>
      <c r="CR104" s="36">
        <f>((((ET104)*BB104-(EU104)*BS104)+AE104*BS104)*AV104)</f>
        <v>586.5</v>
      </c>
      <c r="CS104">
        <f>(AE104*BS104*AV104)</f>
        <v>292.98</v>
      </c>
      <c r="CT104">
        <f>(AF104*BA104*AV104)</f>
        <v>145.79</v>
      </c>
      <c r="CU104">
        <f>AG104</f>
        <v>0</v>
      </c>
      <c r="CV104">
        <f>(AH104*AV104)</f>
        <v>0.37</v>
      </c>
      <c r="CW104">
        <f>AI104</f>
        <v>0</v>
      </c>
      <c r="CX104">
        <f>AJ104</f>
        <v>0</v>
      </c>
      <c r="CY104">
        <f>((S104*BZ104)/100)</f>
        <v>1619479.0569999998</v>
      </c>
      <c r="CZ104">
        <f>((S104*CA104)/100)</f>
        <v>231354.15099999998</v>
      </c>
      <c r="DC104" t="s">
        <v>3</v>
      </c>
      <c r="DD104" t="s">
        <v>3</v>
      </c>
      <c r="DE104" t="s">
        <v>3</v>
      </c>
      <c r="DF104" t="s">
        <v>3</v>
      </c>
      <c r="DG104" t="s">
        <v>3</v>
      </c>
      <c r="DH104" t="s">
        <v>3</v>
      </c>
      <c r="DI104" t="s">
        <v>3</v>
      </c>
      <c r="DJ104" t="s">
        <v>3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1007</v>
      </c>
      <c r="DV104" t="s">
        <v>101</v>
      </c>
      <c r="DW104" t="s">
        <v>101</v>
      </c>
      <c r="DX104">
        <v>1</v>
      </c>
      <c r="DZ104" t="s">
        <v>3</v>
      </c>
      <c r="EA104" t="s">
        <v>3</v>
      </c>
      <c r="EB104" t="s">
        <v>3</v>
      </c>
      <c r="EC104" t="s">
        <v>3</v>
      </c>
      <c r="EE104">
        <v>75550794</v>
      </c>
      <c r="EF104">
        <v>1</v>
      </c>
      <c r="EG104" t="s">
        <v>18</v>
      </c>
      <c r="EH104">
        <v>0</v>
      </c>
      <c r="EI104" t="s">
        <v>3</v>
      </c>
      <c r="EJ104">
        <v>4</v>
      </c>
      <c r="EK104">
        <v>0</v>
      </c>
      <c r="EL104" t="s">
        <v>19</v>
      </c>
      <c r="EM104" t="s">
        <v>20</v>
      </c>
      <c r="EO104" t="s">
        <v>3</v>
      </c>
      <c r="EQ104">
        <v>2097152</v>
      </c>
      <c r="ER104">
        <v>732.29</v>
      </c>
      <c r="ES104">
        <v>0</v>
      </c>
      <c r="ET104">
        <v>586.5</v>
      </c>
      <c r="EU104">
        <v>292.98</v>
      </c>
      <c r="EV104">
        <v>145.79</v>
      </c>
      <c r="EW104">
        <v>0.37</v>
      </c>
      <c r="EX104">
        <v>0</v>
      </c>
      <c r="EY104">
        <v>0</v>
      </c>
      <c r="FQ104">
        <v>0</v>
      </c>
      <c r="FR104">
        <f>ROUND(IF(BI104=3,GM104,0),2)</f>
        <v>0</v>
      </c>
      <c r="FS104">
        <v>0</v>
      </c>
      <c r="FX104">
        <v>70</v>
      </c>
      <c r="FY104">
        <v>10</v>
      </c>
      <c r="GA104" t="s">
        <v>3</v>
      </c>
      <c r="GD104">
        <v>0</v>
      </c>
      <c r="GF104">
        <v>-1171079534</v>
      </c>
      <c r="GG104">
        <v>2</v>
      </c>
      <c r="GH104">
        <v>1</v>
      </c>
      <c r="GI104">
        <v>-2</v>
      </c>
      <c r="GJ104">
        <v>0</v>
      </c>
      <c r="GK104">
        <f>ROUND(R104*(R12)/100,2)</f>
        <v>5021243.59</v>
      </c>
      <c r="GL104">
        <f>ROUND(IF(AND(BH104=3,BI104=3,FS104&lt;&gt;0),P104,0),2)</f>
        <v>0</v>
      </c>
      <c r="GM104">
        <f>ROUND(O104+X104+Y104+GK104,2)+GX104</f>
        <v>18492786.809999999</v>
      </c>
      <c r="GN104">
        <f>IF(OR(BI104=0,BI104=1),GM104-GX104,0)</f>
        <v>0</v>
      </c>
      <c r="GO104">
        <f>IF(BI104=2,GM104-GX104,0)</f>
        <v>0</v>
      </c>
      <c r="GP104">
        <f>IF(BI104=4,GM104-GX104,0)</f>
        <v>18492786.809999999</v>
      </c>
      <c r="GR104">
        <v>0</v>
      </c>
      <c r="GS104">
        <v>3</v>
      </c>
      <c r="GT104">
        <v>0</v>
      </c>
      <c r="GU104" t="s">
        <v>3</v>
      </c>
      <c r="GV104">
        <f>ROUND((GT104),6)</f>
        <v>0</v>
      </c>
      <c r="GW104">
        <v>1</v>
      </c>
      <c r="GX104">
        <f>ROUND(HC104*I104,2)</f>
        <v>0</v>
      </c>
      <c r="HA104">
        <v>0</v>
      </c>
      <c r="HB104">
        <v>0</v>
      </c>
      <c r="HC104">
        <f>GV104*GW104</f>
        <v>0</v>
      </c>
      <c r="HE104" t="s">
        <v>3</v>
      </c>
      <c r="HF104" t="s">
        <v>3</v>
      </c>
      <c r="HM104" t="s">
        <v>3</v>
      </c>
      <c r="HN104" t="s">
        <v>3</v>
      </c>
      <c r="HO104" t="s">
        <v>3</v>
      </c>
      <c r="HP104" t="s">
        <v>3</v>
      </c>
      <c r="HQ104" t="s">
        <v>3</v>
      </c>
      <c r="IK104">
        <v>0</v>
      </c>
    </row>
    <row r="106" spans="1:245" x14ac:dyDescent="0.25">
      <c r="A106" s="2">
        <v>51</v>
      </c>
      <c r="B106" s="2">
        <f>B99</f>
        <v>1</v>
      </c>
      <c r="C106" s="2">
        <f>A99</f>
        <v>4</v>
      </c>
      <c r="D106" s="2">
        <f>ROW(A99)</f>
        <v>99</v>
      </c>
      <c r="E106" s="2"/>
      <c r="F106" s="2" t="str">
        <f>IF(F99&lt;&gt;"",F99,"")</f>
        <v/>
      </c>
      <c r="G106" s="2" t="str">
        <f>IF(G99&lt;&gt;"",G99,"")</f>
        <v>Скол сосулек с крыш и перемещение снега.</v>
      </c>
      <c r="H106" s="2">
        <v>0</v>
      </c>
      <c r="I106" s="2"/>
      <c r="J106" s="2"/>
      <c r="K106" s="2"/>
      <c r="L106" s="2"/>
      <c r="M106" s="2"/>
      <c r="N106" s="2"/>
      <c r="O106" s="2">
        <f t="shared" ref="O106:T106" si="43">ROUND(AB106,2)</f>
        <v>12124019.460000001</v>
      </c>
      <c r="P106" s="2">
        <f t="shared" si="43"/>
        <v>0</v>
      </c>
      <c r="Q106" s="2">
        <f t="shared" si="43"/>
        <v>9307168.5</v>
      </c>
      <c r="R106" s="2">
        <f t="shared" si="43"/>
        <v>4649299.62</v>
      </c>
      <c r="S106" s="2">
        <f t="shared" si="43"/>
        <v>2816850.96</v>
      </c>
      <c r="T106" s="2">
        <f t="shared" si="43"/>
        <v>0</v>
      </c>
      <c r="U106" s="2">
        <f>AH106</f>
        <v>7148.8675999999987</v>
      </c>
      <c r="V106" s="2">
        <f>AI106</f>
        <v>0</v>
      </c>
      <c r="W106" s="2">
        <f>ROUND(AJ106,2)</f>
        <v>0</v>
      </c>
      <c r="X106" s="2">
        <f>ROUND(AK106,2)</f>
        <v>1971795.68</v>
      </c>
      <c r="Y106" s="2">
        <f>ROUND(AL106,2)</f>
        <v>281685.09999999998</v>
      </c>
      <c r="Z106" s="2"/>
      <c r="AA106" s="2"/>
      <c r="AB106" s="2">
        <f>ROUND(SUMIF(AA103:AA104,"=75447910",O103:O104),2)</f>
        <v>12124019.460000001</v>
      </c>
      <c r="AC106" s="38">
        <f>ROUND(SUMIF(AA103:AA104,"=75447910",P103:P104),2)</f>
        <v>0</v>
      </c>
      <c r="AD106" s="38">
        <f>ROUND(SUMIF(AA103:AA104,"=75447910",Q103:Q104),2)</f>
        <v>9307168.5</v>
      </c>
      <c r="AE106" s="38">
        <f>ROUND(SUMIF(AA103:AA104,"=75447910",R103:R104),2)</f>
        <v>4649299.62</v>
      </c>
      <c r="AF106" s="38">
        <f>ROUND(SUMIF(AA103:AA104,"=75447910",S103:S104),2)</f>
        <v>2816850.96</v>
      </c>
      <c r="AG106" s="2">
        <f>ROUND(SUMIF(AA103:AA104,"=75447910",T103:T104),2)</f>
        <v>0</v>
      </c>
      <c r="AH106" s="38">
        <f>SUMIF(AA103:AA104,"=75447910",U103:U104)</f>
        <v>7148.8675999999987</v>
      </c>
      <c r="AI106" s="38">
        <f>SUMIF(AA103:AA104,"=75447910",V103:V104)</f>
        <v>0</v>
      </c>
      <c r="AJ106" s="2">
        <f>ROUND(SUMIF(AA103:AA104,"=75447910",W103:W104),2)</f>
        <v>0</v>
      </c>
      <c r="AK106" s="2">
        <f>ROUND(SUMIF(AA103:AA104,"=75447910",X103:X104),2)</f>
        <v>1971795.68</v>
      </c>
      <c r="AL106" s="2">
        <f>ROUND(SUMIF(AA103:AA104,"=75447910",Y103:Y104),2)</f>
        <v>281685.09999999998</v>
      </c>
      <c r="AM106" s="2"/>
      <c r="AN106" s="2"/>
      <c r="AO106" s="2">
        <f t="shared" ref="AO106:BD106" si="44">ROUND(BX106,2)</f>
        <v>0</v>
      </c>
      <c r="AP106" s="2">
        <f t="shared" si="44"/>
        <v>0</v>
      </c>
      <c r="AQ106" s="2">
        <f t="shared" si="44"/>
        <v>0</v>
      </c>
      <c r="AR106" s="2">
        <f t="shared" si="44"/>
        <v>19398743.829999998</v>
      </c>
      <c r="AS106" s="2">
        <f t="shared" si="44"/>
        <v>0</v>
      </c>
      <c r="AT106" s="2">
        <f t="shared" si="44"/>
        <v>0</v>
      </c>
      <c r="AU106" s="2">
        <f t="shared" si="44"/>
        <v>19398743.829999998</v>
      </c>
      <c r="AV106" s="2">
        <f t="shared" si="44"/>
        <v>0</v>
      </c>
      <c r="AW106" s="2">
        <f t="shared" si="44"/>
        <v>0</v>
      </c>
      <c r="AX106" s="2">
        <f t="shared" si="44"/>
        <v>0</v>
      </c>
      <c r="AY106" s="2">
        <f t="shared" si="44"/>
        <v>0</v>
      </c>
      <c r="AZ106" s="2">
        <f t="shared" si="44"/>
        <v>0</v>
      </c>
      <c r="BA106" s="2">
        <f t="shared" si="44"/>
        <v>0</v>
      </c>
      <c r="BB106" s="2">
        <f t="shared" si="44"/>
        <v>0</v>
      </c>
      <c r="BC106" s="2">
        <f t="shared" si="44"/>
        <v>0</v>
      </c>
      <c r="BD106" s="2">
        <f t="shared" si="44"/>
        <v>0</v>
      </c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>
        <f>ROUND(SUMIF(AA103:AA104,"=75447910",FQ103:FQ104),2)</f>
        <v>0</v>
      </c>
      <c r="BY106" s="2">
        <f>ROUND(SUMIF(AA103:AA104,"=75447910",FR103:FR104),2)</f>
        <v>0</v>
      </c>
      <c r="BZ106" s="2">
        <f>ROUND(SUMIF(AA103:AA104,"=75447910",GL103:GL104),2)</f>
        <v>0</v>
      </c>
      <c r="CA106" s="2">
        <f>ROUND(SUMIF(AA103:AA104,"=75447910",GM103:GM104),2)</f>
        <v>19398743.829999998</v>
      </c>
      <c r="CB106" s="2">
        <f>ROUND(SUMIF(AA103:AA104,"=75447910",GN103:GN104),2)</f>
        <v>0</v>
      </c>
      <c r="CC106" s="2">
        <f>ROUND(SUMIF(AA103:AA104,"=75447910",GO103:GO104),2)</f>
        <v>0</v>
      </c>
      <c r="CD106" s="2">
        <f>ROUND(SUMIF(AA103:AA104,"=75447910",GP103:GP104),2)</f>
        <v>19398743.829999998</v>
      </c>
      <c r="CE106" s="2">
        <f>AC106-BX106</f>
        <v>0</v>
      </c>
      <c r="CF106" s="2">
        <f>AC106-BY106</f>
        <v>0</v>
      </c>
      <c r="CG106" s="2">
        <f>BX106-BZ106</f>
        <v>0</v>
      </c>
      <c r="CH106" s="2">
        <f>AC106-BX106-BY106+BZ106</f>
        <v>0</v>
      </c>
      <c r="CI106" s="2">
        <f>BY106-BZ106</f>
        <v>0</v>
      </c>
      <c r="CJ106" s="2">
        <f>ROUND(SUMIF(AA103:AA104,"=75447910",GX103:GX104),2)</f>
        <v>0</v>
      </c>
      <c r="CK106" s="2">
        <f>ROUND(SUMIF(AA103:AA104,"=75447910",GY103:GY104),2)</f>
        <v>0</v>
      </c>
      <c r="CL106" s="2">
        <f>ROUND(SUMIF(AA103:AA104,"=75447910",GZ103:GZ104),2)</f>
        <v>0</v>
      </c>
      <c r="CM106" s="2">
        <f>ROUND(SUMIF(AA103:AA104,"=75447910",HD103:HD104),2)</f>
        <v>0</v>
      </c>
      <c r="CN106" s="2"/>
      <c r="CO106" s="2"/>
      <c r="CP106" s="2"/>
      <c r="CQ106" s="2"/>
      <c r="CR106" s="38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>
        <v>0</v>
      </c>
    </row>
    <row r="108" spans="1:245" x14ac:dyDescent="0.25">
      <c r="A108" s="4">
        <v>50</v>
      </c>
      <c r="B108" s="4">
        <v>0</v>
      </c>
      <c r="C108" s="4">
        <v>0</v>
      </c>
      <c r="D108" s="4">
        <v>1</v>
      </c>
      <c r="E108" s="4">
        <v>201</v>
      </c>
      <c r="F108" s="4">
        <f>ROUND(Source!O106,O108)</f>
        <v>12124019.460000001</v>
      </c>
      <c r="G108" s="4" t="s">
        <v>34</v>
      </c>
      <c r="H108" s="4" t="s">
        <v>35</v>
      </c>
      <c r="I108" s="4"/>
      <c r="J108" s="4"/>
      <c r="K108" s="4">
        <v>201</v>
      </c>
      <c r="L108" s="4">
        <v>1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2976784.12</v>
      </c>
      <c r="X108" s="4">
        <v>1</v>
      </c>
      <c r="Y108" s="4">
        <v>2976784.12</v>
      </c>
      <c r="Z108" s="4"/>
      <c r="AA108" s="4"/>
      <c r="AB108" s="4"/>
    </row>
    <row r="109" spans="1:245" x14ac:dyDescent="0.25">
      <c r="A109" s="4">
        <v>50</v>
      </c>
      <c r="B109" s="4">
        <v>0</v>
      </c>
      <c r="C109" s="4">
        <v>0</v>
      </c>
      <c r="D109" s="4">
        <v>1</v>
      </c>
      <c r="E109" s="4">
        <v>202</v>
      </c>
      <c r="F109" s="4">
        <f>ROUND(Source!P106,O109)</f>
        <v>0</v>
      </c>
      <c r="G109" s="4" t="s">
        <v>36</v>
      </c>
      <c r="H109" s="4" t="s">
        <v>37</v>
      </c>
      <c r="I109" s="4"/>
      <c r="J109" s="4"/>
      <c r="K109" s="4">
        <v>202</v>
      </c>
      <c r="L109" s="4">
        <v>2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45" x14ac:dyDescent="0.25">
      <c r="A110" s="4">
        <v>50</v>
      </c>
      <c r="B110" s="4">
        <v>0</v>
      </c>
      <c r="C110" s="4">
        <v>0</v>
      </c>
      <c r="D110" s="4">
        <v>1</v>
      </c>
      <c r="E110" s="4">
        <v>222</v>
      </c>
      <c r="F110" s="4">
        <f>ROUND(Source!AO106,O110)</f>
        <v>0</v>
      </c>
      <c r="G110" s="4" t="s">
        <v>38</v>
      </c>
      <c r="H110" s="4" t="s">
        <v>39</v>
      </c>
      <c r="I110" s="4"/>
      <c r="J110" s="4"/>
      <c r="K110" s="4">
        <v>222</v>
      </c>
      <c r="L110" s="4">
        <v>3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45" x14ac:dyDescent="0.25">
      <c r="A111" s="4">
        <v>50</v>
      </c>
      <c r="B111" s="4">
        <v>0</v>
      </c>
      <c r="C111" s="4">
        <v>0</v>
      </c>
      <c r="D111" s="4">
        <v>1</v>
      </c>
      <c r="E111" s="4">
        <v>225</v>
      </c>
      <c r="F111" s="4">
        <f>ROUND(Source!AV106,O111)</f>
        <v>0</v>
      </c>
      <c r="G111" s="4" t="s">
        <v>40</v>
      </c>
      <c r="H111" s="4" t="s">
        <v>41</v>
      </c>
      <c r="I111" s="4"/>
      <c r="J111" s="4"/>
      <c r="K111" s="4">
        <v>225</v>
      </c>
      <c r="L111" s="4">
        <v>4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45" x14ac:dyDescent="0.25">
      <c r="A112" s="4">
        <v>50</v>
      </c>
      <c r="B112" s="4">
        <v>0</v>
      </c>
      <c r="C112" s="4">
        <v>0</v>
      </c>
      <c r="D112" s="4">
        <v>1</v>
      </c>
      <c r="E112" s="4">
        <v>226</v>
      </c>
      <c r="F112" s="4">
        <f>ROUND(Source!AW106,O112)</f>
        <v>0</v>
      </c>
      <c r="G112" s="4" t="s">
        <v>42</v>
      </c>
      <c r="H112" s="4" t="s">
        <v>43</v>
      </c>
      <c r="I112" s="4"/>
      <c r="J112" s="4"/>
      <c r="K112" s="4">
        <v>226</v>
      </c>
      <c r="L112" s="4">
        <v>5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x14ac:dyDescent="0.25">
      <c r="A113" s="4">
        <v>50</v>
      </c>
      <c r="B113" s="4">
        <v>0</v>
      </c>
      <c r="C113" s="4">
        <v>0</v>
      </c>
      <c r="D113" s="4">
        <v>1</v>
      </c>
      <c r="E113" s="4">
        <v>227</v>
      </c>
      <c r="F113" s="4">
        <f>ROUND(Source!AX106,O113)</f>
        <v>0</v>
      </c>
      <c r="G113" s="4" t="s">
        <v>44</v>
      </c>
      <c r="H113" s="4" t="s">
        <v>45</v>
      </c>
      <c r="I113" s="4"/>
      <c r="J113" s="4"/>
      <c r="K113" s="4">
        <v>227</v>
      </c>
      <c r="L113" s="4">
        <v>6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5">
      <c r="A114" s="4">
        <v>50</v>
      </c>
      <c r="B114" s="4">
        <v>0</v>
      </c>
      <c r="C114" s="4">
        <v>0</v>
      </c>
      <c r="D114" s="4">
        <v>1</v>
      </c>
      <c r="E114" s="4">
        <v>228</v>
      </c>
      <c r="F114" s="4">
        <f>ROUND(Source!AY106,O114)</f>
        <v>0</v>
      </c>
      <c r="G114" s="4" t="s">
        <v>46</v>
      </c>
      <c r="H114" s="4" t="s">
        <v>47</v>
      </c>
      <c r="I114" s="4"/>
      <c r="J114" s="4"/>
      <c r="K114" s="4">
        <v>228</v>
      </c>
      <c r="L114" s="4">
        <v>7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5">
      <c r="A115" s="4">
        <v>50</v>
      </c>
      <c r="B115" s="4">
        <v>0</v>
      </c>
      <c r="C115" s="4">
        <v>0</v>
      </c>
      <c r="D115" s="4">
        <v>1</v>
      </c>
      <c r="E115" s="4">
        <v>216</v>
      </c>
      <c r="F115" s="4">
        <f>ROUND(Source!AP106,O115)</f>
        <v>0</v>
      </c>
      <c r="G115" s="4" t="s">
        <v>48</v>
      </c>
      <c r="H115" s="4" t="s">
        <v>49</v>
      </c>
      <c r="I115" s="4"/>
      <c r="J115" s="4"/>
      <c r="K115" s="4">
        <v>216</v>
      </c>
      <c r="L115" s="4">
        <v>8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5">
      <c r="A116" s="4">
        <v>50</v>
      </c>
      <c r="B116" s="4">
        <v>0</v>
      </c>
      <c r="C116" s="4">
        <v>0</v>
      </c>
      <c r="D116" s="4">
        <v>1</v>
      </c>
      <c r="E116" s="4">
        <v>223</v>
      </c>
      <c r="F116" s="4">
        <f>ROUND(Source!AQ106,O116)</f>
        <v>0</v>
      </c>
      <c r="G116" s="4" t="s">
        <v>50</v>
      </c>
      <c r="H116" s="4" t="s">
        <v>51</v>
      </c>
      <c r="I116" s="4"/>
      <c r="J116" s="4"/>
      <c r="K116" s="4">
        <v>223</v>
      </c>
      <c r="L116" s="4">
        <v>9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5">
      <c r="A117" s="4">
        <v>50</v>
      </c>
      <c r="B117" s="4">
        <v>0</v>
      </c>
      <c r="C117" s="4">
        <v>0</v>
      </c>
      <c r="D117" s="4">
        <v>1</v>
      </c>
      <c r="E117" s="4">
        <v>229</v>
      </c>
      <c r="F117" s="4">
        <f>ROUND(Source!AZ106,O117)</f>
        <v>0</v>
      </c>
      <c r="G117" s="4" t="s">
        <v>52</v>
      </c>
      <c r="H117" s="4" t="s">
        <v>53</v>
      </c>
      <c r="I117" s="4"/>
      <c r="J117" s="4"/>
      <c r="K117" s="4">
        <v>229</v>
      </c>
      <c r="L117" s="4">
        <v>10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5">
      <c r="A118" s="4">
        <v>50</v>
      </c>
      <c r="B118" s="4">
        <v>0</v>
      </c>
      <c r="C118" s="4">
        <v>0</v>
      </c>
      <c r="D118" s="4">
        <v>1</v>
      </c>
      <c r="E118" s="4">
        <v>203</v>
      </c>
      <c r="F118" s="4">
        <f>ROUND(Source!Q106,O118)</f>
        <v>9307168.5</v>
      </c>
      <c r="G118" s="4" t="s">
        <v>54</v>
      </c>
      <c r="H118" s="4" t="s">
        <v>55</v>
      </c>
      <c r="I118" s="4"/>
      <c r="J118" s="4"/>
      <c r="K118" s="4">
        <v>203</v>
      </c>
      <c r="L118" s="4">
        <v>11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2252582.2799999998</v>
      </c>
      <c r="X118" s="4">
        <v>1</v>
      </c>
      <c r="Y118" s="4">
        <v>2252582.2799999998</v>
      </c>
      <c r="Z118" s="4"/>
      <c r="AA118" s="4"/>
      <c r="AB118" s="4"/>
    </row>
    <row r="119" spans="1:28" x14ac:dyDescent="0.25">
      <c r="A119" s="4">
        <v>50</v>
      </c>
      <c r="B119" s="4">
        <v>0</v>
      </c>
      <c r="C119" s="4">
        <v>0</v>
      </c>
      <c r="D119" s="4">
        <v>1</v>
      </c>
      <c r="E119" s="4">
        <v>231</v>
      </c>
      <c r="F119" s="4">
        <f>ROUND(Source!BB106,O119)</f>
        <v>0</v>
      </c>
      <c r="G119" s="4" t="s">
        <v>56</v>
      </c>
      <c r="H119" s="4" t="s">
        <v>57</v>
      </c>
      <c r="I119" s="4"/>
      <c r="J119" s="4"/>
      <c r="K119" s="4">
        <v>231</v>
      </c>
      <c r="L119" s="4">
        <v>12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5">
      <c r="A120" s="4">
        <v>50</v>
      </c>
      <c r="B120" s="4">
        <v>0</v>
      </c>
      <c r="C120" s="4">
        <v>0</v>
      </c>
      <c r="D120" s="4">
        <v>1</v>
      </c>
      <c r="E120" s="4">
        <v>204</v>
      </c>
      <c r="F120" s="4">
        <f>ROUND(Source!R106,O120)</f>
        <v>4649299.62</v>
      </c>
      <c r="G120" s="4" t="s">
        <v>58</v>
      </c>
      <c r="H120" s="4" t="s">
        <v>59</v>
      </c>
      <c r="I120" s="4"/>
      <c r="J120" s="4"/>
      <c r="K120" s="4">
        <v>204</v>
      </c>
      <c r="L120" s="4">
        <v>13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1125254.1499999999</v>
      </c>
      <c r="X120" s="4">
        <v>1</v>
      </c>
      <c r="Y120" s="4">
        <v>1125254.1499999999</v>
      </c>
      <c r="Z120" s="4"/>
      <c r="AA120" s="4"/>
      <c r="AB120" s="4"/>
    </row>
    <row r="121" spans="1:28" x14ac:dyDescent="0.25">
      <c r="A121" s="4">
        <v>50</v>
      </c>
      <c r="B121" s="4">
        <v>0</v>
      </c>
      <c r="C121" s="4">
        <v>0</v>
      </c>
      <c r="D121" s="4">
        <v>1</v>
      </c>
      <c r="E121" s="4">
        <v>205</v>
      </c>
      <c r="F121" s="4">
        <f>ROUND(Source!S106,O121)</f>
        <v>2816850.96</v>
      </c>
      <c r="G121" s="4" t="s">
        <v>60</v>
      </c>
      <c r="H121" s="4" t="s">
        <v>61</v>
      </c>
      <c r="I121" s="4"/>
      <c r="J121" s="4"/>
      <c r="K121" s="4">
        <v>205</v>
      </c>
      <c r="L121" s="4">
        <v>14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724201.84</v>
      </c>
      <c r="X121" s="4">
        <v>1</v>
      </c>
      <c r="Y121" s="4">
        <v>724201.84</v>
      </c>
      <c r="Z121" s="4"/>
      <c r="AA121" s="4"/>
      <c r="AB121" s="4"/>
    </row>
    <row r="122" spans="1:28" x14ac:dyDescent="0.25">
      <c r="A122" s="4">
        <v>50</v>
      </c>
      <c r="B122" s="4">
        <v>0</v>
      </c>
      <c r="C122" s="4">
        <v>0</v>
      </c>
      <c r="D122" s="4">
        <v>1</v>
      </c>
      <c r="E122" s="4">
        <v>232</v>
      </c>
      <c r="F122" s="4">
        <f>ROUND(Source!BC106,O122)</f>
        <v>0</v>
      </c>
      <c r="G122" s="4" t="s">
        <v>62</v>
      </c>
      <c r="H122" s="4" t="s">
        <v>63</v>
      </c>
      <c r="I122" s="4"/>
      <c r="J122" s="4"/>
      <c r="K122" s="4">
        <v>232</v>
      </c>
      <c r="L122" s="4">
        <v>15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5">
      <c r="A123" s="4">
        <v>50</v>
      </c>
      <c r="B123" s="4">
        <v>0</v>
      </c>
      <c r="C123" s="4">
        <v>0</v>
      </c>
      <c r="D123" s="4">
        <v>1</v>
      </c>
      <c r="E123" s="4">
        <v>214</v>
      </c>
      <c r="F123" s="4">
        <f>ROUND(Source!AS106,O123)</f>
        <v>0</v>
      </c>
      <c r="G123" s="4" t="s">
        <v>64</v>
      </c>
      <c r="H123" s="4" t="s">
        <v>65</v>
      </c>
      <c r="I123" s="4"/>
      <c r="J123" s="4"/>
      <c r="K123" s="4">
        <v>214</v>
      </c>
      <c r="L123" s="4">
        <v>16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8" x14ac:dyDescent="0.25">
      <c r="A124" s="4">
        <v>50</v>
      </c>
      <c r="B124" s="4">
        <v>0</v>
      </c>
      <c r="C124" s="4">
        <v>0</v>
      </c>
      <c r="D124" s="4">
        <v>1</v>
      </c>
      <c r="E124" s="4">
        <v>215</v>
      </c>
      <c r="F124" s="4">
        <f>ROUND(Source!AT106,O124)</f>
        <v>0</v>
      </c>
      <c r="G124" s="4" t="s">
        <v>66</v>
      </c>
      <c r="H124" s="4" t="s">
        <v>67</v>
      </c>
      <c r="I124" s="4"/>
      <c r="J124" s="4"/>
      <c r="K124" s="4">
        <v>215</v>
      </c>
      <c r="L124" s="4">
        <v>17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 x14ac:dyDescent="0.25">
      <c r="A125" s="4">
        <v>50</v>
      </c>
      <c r="B125" s="4">
        <v>0</v>
      </c>
      <c r="C125" s="4">
        <v>0</v>
      </c>
      <c r="D125" s="4">
        <v>1</v>
      </c>
      <c r="E125" s="4">
        <v>217</v>
      </c>
      <c r="F125" s="4">
        <f>ROUND(Source!AU106,O125)</f>
        <v>19398743.829999998</v>
      </c>
      <c r="G125" s="4" t="s">
        <v>68</v>
      </c>
      <c r="H125" s="4" t="s">
        <v>69</v>
      </c>
      <c r="I125" s="4"/>
      <c r="J125" s="4"/>
      <c r="K125" s="4">
        <v>217</v>
      </c>
      <c r="L125" s="4">
        <v>18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4771420.08</v>
      </c>
      <c r="X125" s="4">
        <v>1</v>
      </c>
      <c r="Y125" s="4">
        <v>4771420.08</v>
      </c>
      <c r="Z125" s="4"/>
      <c r="AA125" s="4"/>
      <c r="AB125" s="4"/>
    </row>
    <row r="126" spans="1:28" x14ac:dyDescent="0.25">
      <c r="A126" s="4">
        <v>50</v>
      </c>
      <c r="B126" s="4">
        <v>0</v>
      </c>
      <c r="C126" s="4">
        <v>0</v>
      </c>
      <c r="D126" s="4">
        <v>1</v>
      </c>
      <c r="E126" s="4">
        <v>230</v>
      </c>
      <c r="F126" s="4">
        <f>ROUND(Source!BA106,O126)</f>
        <v>0</v>
      </c>
      <c r="G126" s="4" t="s">
        <v>70</v>
      </c>
      <c r="H126" s="4" t="s">
        <v>71</v>
      </c>
      <c r="I126" s="4"/>
      <c r="J126" s="4"/>
      <c r="K126" s="4">
        <v>230</v>
      </c>
      <c r="L126" s="4">
        <v>19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x14ac:dyDescent="0.25">
      <c r="A127" s="4">
        <v>50</v>
      </c>
      <c r="B127" s="4">
        <v>0</v>
      </c>
      <c r="C127" s="4">
        <v>0</v>
      </c>
      <c r="D127" s="4">
        <v>1</v>
      </c>
      <c r="E127" s="4">
        <v>206</v>
      </c>
      <c r="F127" s="4">
        <f>ROUND(Source!T106,O127)</f>
        <v>0</v>
      </c>
      <c r="G127" s="4" t="s">
        <v>72</v>
      </c>
      <c r="H127" s="4" t="s">
        <v>73</v>
      </c>
      <c r="I127" s="4"/>
      <c r="J127" s="4"/>
      <c r="K127" s="4">
        <v>206</v>
      </c>
      <c r="L127" s="4">
        <v>20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8" x14ac:dyDescent="0.25">
      <c r="A128" s="4">
        <v>50</v>
      </c>
      <c r="B128" s="4">
        <v>0</v>
      </c>
      <c r="C128" s="4">
        <v>0</v>
      </c>
      <c r="D128" s="4">
        <v>1</v>
      </c>
      <c r="E128" s="4">
        <v>207</v>
      </c>
      <c r="F128" s="4">
        <f>Source!U106</f>
        <v>7148.8675999999987</v>
      </c>
      <c r="G128" s="4" t="s">
        <v>74</v>
      </c>
      <c r="H128" s="4" t="s">
        <v>75</v>
      </c>
      <c r="I128" s="4"/>
      <c r="J128" s="4"/>
      <c r="K128" s="4">
        <v>207</v>
      </c>
      <c r="L128" s="4">
        <v>21</v>
      </c>
      <c r="M128" s="4">
        <v>3</v>
      </c>
      <c r="N128" s="4" t="s">
        <v>3</v>
      </c>
      <c r="O128" s="4">
        <v>-1</v>
      </c>
      <c r="P128" s="4"/>
      <c r="Q128" s="4"/>
      <c r="R128" s="4"/>
      <c r="S128" s="4"/>
      <c r="T128" s="4"/>
      <c r="U128" s="4"/>
      <c r="V128" s="4"/>
      <c r="W128" s="4">
        <v>1837.9463999999998</v>
      </c>
      <c r="X128" s="4">
        <v>1</v>
      </c>
      <c r="Y128" s="4">
        <v>1837.9463999999998</v>
      </c>
      <c r="Z128" s="4"/>
      <c r="AA128" s="4"/>
      <c r="AB128" s="4"/>
    </row>
    <row r="129" spans="1:206" x14ac:dyDescent="0.25">
      <c r="A129" s="4">
        <v>50</v>
      </c>
      <c r="B129" s="4">
        <v>0</v>
      </c>
      <c r="C129" s="4">
        <v>0</v>
      </c>
      <c r="D129" s="4">
        <v>1</v>
      </c>
      <c r="E129" s="4">
        <v>208</v>
      </c>
      <c r="F129" s="4">
        <f>Source!V106</f>
        <v>0</v>
      </c>
      <c r="G129" s="4" t="s">
        <v>76</v>
      </c>
      <c r="H129" s="4" t="s">
        <v>77</v>
      </c>
      <c r="I129" s="4"/>
      <c r="J129" s="4"/>
      <c r="K129" s="4">
        <v>208</v>
      </c>
      <c r="L129" s="4">
        <v>22</v>
      </c>
      <c r="M129" s="4">
        <v>3</v>
      </c>
      <c r="N129" s="4" t="s">
        <v>3</v>
      </c>
      <c r="O129" s="4">
        <v>-1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06" x14ac:dyDescent="0.25">
      <c r="A130" s="4">
        <v>50</v>
      </c>
      <c r="B130" s="4">
        <v>0</v>
      </c>
      <c r="C130" s="4">
        <v>0</v>
      </c>
      <c r="D130" s="4">
        <v>1</v>
      </c>
      <c r="E130" s="4">
        <v>209</v>
      </c>
      <c r="F130" s="4">
        <f>ROUND(Source!W106,O130)</f>
        <v>0</v>
      </c>
      <c r="G130" s="4" t="s">
        <v>78</v>
      </c>
      <c r="H130" s="4" t="s">
        <v>79</v>
      </c>
      <c r="I130" s="4"/>
      <c r="J130" s="4"/>
      <c r="K130" s="4">
        <v>209</v>
      </c>
      <c r="L130" s="4">
        <v>23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06" x14ac:dyDescent="0.25">
      <c r="A131" s="4">
        <v>50</v>
      </c>
      <c r="B131" s="4">
        <v>0</v>
      </c>
      <c r="C131" s="4">
        <v>0</v>
      </c>
      <c r="D131" s="4">
        <v>1</v>
      </c>
      <c r="E131" s="4">
        <v>233</v>
      </c>
      <c r="F131" s="4">
        <f>ROUND(Source!BD106,O131)</f>
        <v>0</v>
      </c>
      <c r="G131" s="4" t="s">
        <v>80</v>
      </c>
      <c r="H131" s="4" t="s">
        <v>81</v>
      </c>
      <c r="I131" s="4"/>
      <c r="J131" s="4"/>
      <c r="K131" s="4">
        <v>233</v>
      </c>
      <c r="L131" s="4">
        <v>24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06" x14ac:dyDescent="0.25">
      <c r="A132" s="4">
        <v>50</v>
      </c>
      <c r="B132" s="4">
        <v>0</v>
      </c>
      <c r="C132" s="4">
        <v>0</v>
      </c>
      <c r="D132" s="4">
        <v>1</v>
      </c>
      <c r="E132" s="4">
        <v>210</v>
      </c>
      <c r="F132" s="4">
        <f>ROUND(Source!X106,O132)</f>
        <v>1971795.68</v>
      </c>
      <c r="G132" s="4" t="s">
        <v>82</v>
      </c>
      <c r="H132" s="4" t="s">
        <v>83</v>
      </c>
      <c r="I132" s="4"/>
      <c r="J132" s="4"/>
      <c r="K132" s="4">
        <v>210</v>
      </c>
      <c r="L132" s="4">
        <v>25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506941.29</v>
      </c>
      <c r="X132" s="4">
        <v>1</v>
      </c>
      <c r="Y132" s="4">
        <v>506941.29</v>
      </c>
      <c r="Z132" s="4"/>
      <c r="AA132" s="4"/>
      <c r="AB132" s="4"/>
    </row>
    <row r="133" spans="1:206" x14ac:dyDescent="0.25">
      <c r="A133" s="4">
        <v>50</v>
      </c>
      <c r="B133" s="4">
        <v>0</v>
      </c>
      <c r="C133" s="4">
        <v>0</v>
      </c>
      <c r="D133" s="4">
        <v>1</v>
      </c>
      <c r="E133" s="4">
        <v>211</v>
      </c>
      <c r="F133" s="4">
        <f>ROUND(Source!Y106,O133)</f>
        <v>281685.09999999998</v>
      </c>
      <c r="G133" s="4" t="s">
        <v>84</v>
      </c>
      <c r="H133" s="4" t="s">
        <v>85</v>
      </c>
      <c r="I133" s="4"/>
      <c r="J133" s="4"/>
      <c r="K133" s="4">
        <v>211</v>
      </c>
      <c r="L133" s="4">
        <v>26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72420.19</v>
      </c>
      <c r="X133" s="4">
        <v>1</v>
      </c>
      <c r="Y133" s="4">
        <v>72420.19</v>
      </c>
      <c r="Z133" s="4"/>
      <c r="AA133" s="4"/>
      <c r="AB133" s="4"/>
    </row>
    <row r="134" spans="1:206" x14ac:dyDescent="0.25">
      <c r="A134" s="4">
        <v>50</v>
      </c>
      <c r="B134" s="4">
        <v>0</v>
      </c>
      <c r="C134" s="4">
        <v>0</v>
      </c>
      <c r="D134" s="4">
        <v>1</v>
      </c>
      <c r="E134" s="4">
        <v>224</v>
      </c>
      <c r="F134" s="4">
        <f>ROUND(Source!AR106,O134)</f>
        <v>19398743.829999998</v>
      </c>
      <c r="G134" s="4" t="s">
        <v>86</v>
      </c>
      <c r="H134" s="4" t="s">
        <v>87</v>
      </c>
      <c r="I134" s="4"/>
      <c r="J134" s="4"/>
      <c r="K134" s="4">
        <v>224</v>
      </c>
      <c r="L134" s="4">
        <v>27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4771420.08</v>
      </c>
      <c r="X134" s="4">
        <v>1</v>
      </c>
      <c r="Y134" s="4">
        <v>4771420.08</v>
      </c>
      <c r="Z134" s="4"/>
      <c r="AA134" s="4"/>
      <c r="AB134" s="4"/>
    </row>
    <row r="136" spans="1:206" x14ac:dyDescent="0.25">
      <c r="A136" s="2">
        <v>51</v>
      </c>
      <c r="B136" s="2">
        <f>B20</f>
        <v>1</v>
      </c>
      <c r="C136" s="2">
        <f>A20</f>
        <v>3</v>
      </c>
      <c r="D136" s="2">
        <f>ROW(A20)</f>
        <v>20</v>
      </c>
      <c r="E136" s="2"/>
      <c r="F136" s="2" t="str">
        <f>IF(F20&lt;&gt;"",F20,"")</f>
        <v/>
      </c>
      <c r="G136" s="2" t="str">
        <f>IF(G20&lt;&gt;"",G20,"")</f>
        <v>Оказание услуг по очистке кровли (17.11.2025-31.03.2026)</v>
      </c>
      <c r="H136" s="2">
        <v>0</v>
      </c>
      <c r="I136" s="2"/>
      <c r="J136" s="2"/>
      <c r="K136" s="2"/>
      <c r="L136" s="2"/>
      <c r="M136" s="2"/>
      <c r="N136" s="2"/>
      <c r="O136" s="2">
        <f t="shared" ref="O136:T136" si="45">ROUND(O33+O69+O106+AB136,2)</f>
        <v>53590917.590000004</v>
      </c>
      <c r="P136" s="2">
        <f t="shared" si="45"/>
        <v>0</v>
      </c>
      <c r="Q136" s="2">
        <f t="shared" si="45"/>
        <v>26715928.809999999</v>
      </c>
      <c r="R136" s="2">
        <f t="shared" si="45"/>
        <v>13953288.35</v>
      </c>
      <c r="S136" s="2">
        <f t="shared" si="45"/>
        <v>26874988.780000001</v>
      </c>
      <c r="T136" s="2">
        <f t="shared" si="45"/>
        <v>0</v>
      </c>
      <c r="U136" s="2">
        <f>U33+U69+U106+AH136</f>
        <v>63181.895599999989</v>
      </c>
      <c r="V136" s="2">
        <f>V33+V69+V106+AI136</f>
        <v>0</v>
      </c>
      <c r="W136" s="2">
        <f>ROUND(W33+W69+W106+AJ136,2)</f>
        <v>0</v>
      </c>
      <c r="X136" s="2">
        <f>ROUND(X33+X69+X106+AK136,2)</f>
        <v>18812492.16</v>
      </c>
      <c r="Y136" s="2">
        <f>ROUND(Y33+Y69+Y106+AL136,2)</f>
        <v>2687498.88</v>
      </c>
      <c r="Z136" s="2"/>
      <c r="AA136" s="2"/>
      <c r="AB136" s="2"/>
      <c r="AC136" s="38"/>
      <c r="AD136" s="38"/>
      <c r="AE136" s="38"/>
      <c r="AF136" s="38"/>
      <c r="AG136" s="2"/>
      <c r="AH136" s="38"/>
      <c r="AI136" s="38"/>
      <c r="AJ136" s="2"/>
      <c r="AK136" s="2"/>
      <c r="AL136" s="2"/>
      <c r="AM136" s="2"/>
      <c r="AN136" s="2"/>
      <c r="AO136" s="2">
        <f t="shared" ref="AO136:BD136" si="46">ROUND(AO33+AO69+AO106+BX136,2)</f>
        <v>0</v>
      </c>
      <c r="AP136" s="2">
        <f t="shared" si="46"/>
        <v>0</v>
      </c>
      <c r="AQ136" s="2">
        <f t="shared" si="46"/>
        <v>0</v>
      </c>
      <c r="AR136" s="2">
        <f t="shared" si="46"/>
        <v>90160460.049999997</v>
      </c>
      <c r="AS136" s="2">
        <f t="shared" si="46"/>
        <v>0</v>
      </c>
      <c r="AT136" s="2">
        <f t="shared" si="46"/>
        <v>0</v>
      </c>
      <c r="AU136" s="2">
        <f t="shared" si="46"/>
        <v>90160460.049999997</v>
      </c>
      <c r="AV136" s="2">
        <f t="shared" si="46"/>
        <v>0</v>
      </c>
      <c r="AW136" s="2">
        <f t="shared" si="46"/>
        <v>0</v>
      </c>
      <c r="AX136" s="2">
        <f t="shared" si="46"/>
        <v>0</v>
      </c>
      <c r="AY136" s="2">
        <f t="shared" si="46"/>
        <v>0</v>
      </c>
      <c r="AZ136" s="2">
        <f t="shared" si="46"/>
        <v>0</v>
      </c>
      <c r="BA136" s="2">
        <f t="shared" si="46"/>
        <v>0</v>
      </c>
      <c r="BB136" s="2">
        <f t="shared" si="46"/>
        <v>0</v>
      </c>
      <c r="BC136" s="2">
        <f t="shared" si="46"/>
        <v>0</v>
      </c>
      <c r="BD136" s="2">
        <f t="shared" si="46"/>
        <v>0</v>
      </c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38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>
        <v>0</v>
      </c>
    </row>
    <row r="138" spans="1:206" x14ac:dyDescent="0.25">
      <c r="A138" s="4">
        <v>50</v>
      </c>
      <c r="B138" s="4">
        <v>0</v>
      </c>
      <c r="C138" s="4">
        <v>0</v>
      </c>
      <c r="D138" s="4">
        <v>1</v>
      </c>
      <c r="E138" s="4">
        <v>201</v>
      </c>
      <c r="F138" s="4">
        <f>ROUND(Source!O136,O138)</f>
        <v>53590917.590000004</v>
      </c>
      <c r="G138" s="4" t="s">
        <v>34</v>
      </c>
      <c r="H138" s="4" t="s">
        <v>35</v>
      </c>
      <c r="I138" s="4"/>
      <c r="J138" s="4"/>
      <c r="K138" s="4">
        <v>201</v>
      </c>
      <c r="L138" s="4">
        <v>1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6179218.9800000004</v>
      </c>
      <c r="X138" s="4">
        <v>1</v>
      </c>
      <c r="Y138" s="4">
        <v>6179218.9800000004</v>
      </c>
      <c r="Z138" s="4"/>
      <c r="AA138" s="4"/>
      <c r="AB138" s="4"/>
    </row>
    <row r="139" spans="1:206" x14ac:dyDescent="0.25">
      <c r="A139" s="4">
        <v>50</v>
      </c>
      <c r="B139" s="4">
        <v>0</v>
      </c>
      <c r="C139" s="4">
        <v>0</v>
      </c>
      <c r="D139" s="4">
        <v>1</v>
      </c>
      <c r="E139" s="4">
        <v>202</v>
      </c>
      <c r="F139" s="4">
        <f>ROUND(Source!P136,O139)</f>
        <v>0</v>
      </c>
      <c r="G139" s="4" t="s">
        <v>36</v>
      </c>
      <c r="H139" s="4" t="s">
        <v>37</v>
      </c>
      <c r="I139" s="4"/>
      <c r="J139" s="4"/>
      <c r="K139" s="4">
        <v>202</v>
      </c>
      <c r="L139" s="4">
        <v>2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0</v>
      </c>
      <c r="X139" s="4">
        <v>1</v>
      </c>
      <c r="Y139" s="4">
        <v>0</v>
      </c>
      <c r="Z139" s="4"/>
      <c r="AA139" s="4"/>
      <c r="AB139" s="4"/>
    </row>
    <row r="140" spans="1:206" x14ac:dyDescent="0.25">
      <c r="A140" s="4">
        <v>50</v>
      </c>
      <c r="B140" s="4">
        <v>0</v>
      </c>
      <c r="C140" s="4">
        <v>0</v>
      </c>
      <c r="D140" s="4">
        <v>1</v>
      </c>
      <c r="E140" s="4">
        <v>222</v>
      </c>
      <c r="F140" s="4">
        <f>ROUND(Source!AO136,O140)</f>
        <v>0</v>
      </c>
      <c r="G140" s="4" t="s">
        <v>38</v>
      </c>
      <c r="H140" s="4" t="s">
        <v>39</v>
      </c>
      <c r="I140" s="4"/>
      <c r="J140" s="4"/>
      <c r="K140" s="4">
        <v>222</v>
      </c>
      <c r="L140" s="4">
        <v>3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06" x14ac:dyDescent="0.25">
      <c r="A141" s="4">
        <v>50</v>
      </c>
      <c r="B141" s="4">
        <v>0</v>
      </c>
      <c r="C141" s="4">
        <v>0</v>
      </c>
      <c r="D141" s="4">
        <v>1</v>
      </c>
      <c r="E141" s="4">
        <v>225</v>
      </c>
      <c r="F141" s="4">
        <f>ROUND(Source!AV136,O141)</f>
        <v>0</v>
      </c>
      <c r="G141" s="4" t="s">
        <v>40</v>
      </c>
      <c r="H141" s="4" t="s">
        <v>41</v>
      </c>
      <c r="I141" s="4"/>
      <c r="J141" s="4"/>
      <c r="K141" s="4">
        <v>225</v>
      </c>
      <c r="L141" s="4">
        <v>4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06" x14ac:dyDescent="0.25">
      <c r="A142" s="4">
        <v>50</v>
      </c>
      <c r="B142" s="4">
        <v>0</v>
      </c>
      <c r="C142" s="4">
        <v>0</v>
      </c>
      <c r="D142" s="4">
        <v>1</v>
      </c>
      <c r="E142" s="4">
        <v>226</v>
      </c>
      <c r="F142" s="4">
        <f>ROUND(Source!AW136,O142)</f>
        <v>0</v>
      </c>
      <c r="G142" s="4" t="s">
        <v>42</v>
      </c>
      <c r="H142" s="4" t="s">
        <v>43</v>
      </c>
      <c r="I142" s="4"/>
      <c r="J142" s="4"/>
      <c r="K142" s="4">
        <v>226</v>
      </c>
      <c r="L142" s="4">
        <v>5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06" x14ac:dyDescent="0.25">
      <c r="A143" s="4">
        <v>50</v>
      </c>
      <c r="B143" s="4">
        <v>0</v>
      </c>
      <c r="C143" s="4">
        <v>0</v>
      </c>
      <c r="D143" s="4">
        <v>1</v>
      </c>
      <c r="E143" s="4">
        <v>227</v>
      </c>
      <c r="F143" s="4">
        <f>ROUND(Source!AX136,O143)</f>
        <v>0</v>
      </c>
      <c r="G143" s="4" t="s">
        <v>44</v>
      </c>
      <c r="H143" s="4" t="s">
        <v>45</v>
      </c>
      <c r="I143" s="4"/>
      <c r="J143" s="4"/>
      <c r="K143" s="4">
        <v>227</v>
      </c>
      <c r="L143" s="4">
        <v>6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06" x14ac:dyDescent="0.25">
      <c r="A144" s="4">
        <v>50</v>
      </c>
      <c r="B144" s="4">
        <v>0</v>
      </c>
      <c r="C144" s="4">
        <v>0</v>
      </c>
      <c r="D144" s="4">
        <v>1</v>
      </c>
      <c r="E144" s="4">
        <v>228</v>
      </c>
      <c r="F144" s="4">
        <f>ROUND(Source!AY136,O144)</f>
        <v>0</v>
      </c>
      <c r="G144" s="4" t="s">
        <v>46</v>
      </c>
      <c r="H144" s="4" t="s">
        <v>47</v>
      </c>
      <c r="I144" s="4"/>
      <c r="J144" s="4"/>
      <c r="K144" s="4">
        <v>228</v>
      </c>
      <c r="L144" s="4">
        <v>7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8" x14ac:dyDescent="0.25">
      <c r="A145" s="4">
        <v>50</v>
      </c>
      <c r="B145" s="4">
        <v>0</v>
      </c>
      <c r="C145" s="4">
        <v>0</v>
      </c>
      <c r="D145" s="4">
        <v>1</v>
      </c>
      <c r="E145" s="4">
        <v>216</v>
      </c>
      <c r="F145" s="4">
        <f>ROUND(Source!AP136,O145)</f>
        <v>0</v>
      </c>
      <c r="G145" s="4" t="s">
        <v>48</v>
      </c>
      <c r="H145" s="4" t="s">
        <v>49</v>
      </c>
      <c r="I145" s="4"/>
      <c r="J145" s="4"/>
      <c r="K145" s="4">
        <v>216</v>
      </c>
      <c r="L145" s="4">
        <v>8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5">
      <c r="A146" s="4">
        <v>50</v>
      </c>
      <c r="B146" s="4">
        <v>0</v>
      </c>
      <c r="C146" s="4">
        <v>0</v>
      </c>
      <c r="D146" s="4">
        <v>1</v>
      </c>
      <c r="E146" s="4">
        <v>223</v>
      </c>
      <c r="F146" s="4">
        <f>ROUND(Source!AQ136,O146)</f>
        <v>0</v>
      </c>
      <c r="G146" s="4" t="s">
        <v>50</v>
      </c>
      <c r="H146" s="4" t="s">
        <v>51</v>
      </c>
      <c r="I146" s="4"/>
      <c r="J146" s="4"/>
      <c r="K146" s="4">
        <v>223</v>
      </c>
      <c r="L146" s="4">
        <v>9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 x14ac:dyDescent="0.25">
      <c r="A147" s="4">
        <v>50</v>
      </c>
      <c r="B147" s="4">
        <v>0</v>
      </c>
      <c r="C147" s="4">
        <v>0</v>
      </c>
      <c r="D147" s="4">
        <v>1</v>
      </c>
      <c r="E147" s="4">
        <v>229</v>
      </c>
      <c r="F147" s="4">
        <f>ROUND(Source!AZ136,O147)</f>
        <v>0</v>
      </c>
      <c r="G147" s="4" t="s">
        <v>52</v>
      </c>
      <c r="H147" s="4" t="s">
        <v>53</v>
      </c>
      <c r="I147" s="4"/>
      <c r="J147" s="4"/>
      <c r="K147" s="4">
        <v>229</v>
      </c>
      <c r="L147" s="4">
        <v>10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8" x14ac:dyDescent="0.25">
      <c r="A148" s="4">
        <v>50</v>
      </c>
      <c r="B148" s="4">
        <v>0</v>
      </c>
      <c r="C148" s="4">
        <v>0</v>
      </c>
      <c r="D148" s="4">
        <v>1</v>
      </c>
      <c r="E148" s="4">
        <v>203</v>
      </c>
      <c r="F148" s="4">
        <f>ROUND(Source!Q136,O148)</f>
        <v>26715928.809999999</v>
      </c>
      <c r="G148" s="4" t="s">
        <v>54</v>
      </c>
      <c r="H148" s="4" t="s">
        <v>55</v>
      </c>
      <c r="I148" s="4"/>
      <c r="J148" s="4"/>
      <c r="K148" s="4">
        <v>203</v>
      </c>
      <c r="L148" s="4">
        <v>11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3167502.72</v>
      </c>
      <c r="X148" s="4">
        <v>1</v>
      </c>
      <c r="Y148" s="4">
        <v>3167502.72</v>
      </c>
      <c r="Z148" s="4"/>
      <c r="AA148" s="4"/>
      <c r="AB148" s="4"/>
    </row>
    <row r="149" spans="1:28" x14ac:dyDescent="0.25">
      <c r="A149" s="4">
        <v>50</v>
      </c>
      <c r="B149" s="4">
        <v>0</v>
      </c>
      <c r="C149" s="4">
        <v>0</v>
      </c>
      <c r="D149" s="4">
        <v>1</v>
      </c>
      <c r="E149" s="4">
        <v>231</v>
      </c>
      <c r="F149" s="4">
        <f>ROUND(Source!BB136,O149)</f>
        <v>0</v>
      </c>
      <c r="G149" s="4" t="s">
        <v>56</v>
      </c>
      <c r="H149" s="4" t="s">
        <v>57</v>
      </c>
      <c r="I149" s="4"/>
      <c r="J149" s="4"/>
      <c r="K149" s="4">
        <v>231</v>
      </c>
      <c r="L149" s="4">
        <v>12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8" x14ac:dyDescent="0.25">
      <c r="A150" s="4">
        <v>50</v>
      </c>
      <c r="B150" s="4">
        <v>0</v>
      </c>
      <c r="C150" s="4">
        <v>0</v>
      </c>
      <c r="D150" s="4">
        <v>1</v>
      </c>
      <c r="E150" s="4">
        <v>204</v>
      </c>
      <c r="F150" s="4">
        <f>ROUND(Source!R136,O150)</f>
        <v>13953288.35</v>
      </c>
      <c r="G150" s="4" t="s">
        <v>58</v>
      </c>
      <c r="H150" s="4" t="s">
        <v>59</v>
      </c>
      <c r="I150" s="4"/>
      <c r="J150" s="4"/>
      <c r="K150" s="4">
        <v>204</v>
      </c>
      <c r="L150" s="4">
        <v>13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1621252.25</v>
      </c>
      <c r="X150" s="4">
        <v>1</v>
      </c>
      <c r="Y150" s="4">
        <v>1621252.25</v>
      </c>
      <c r="Z150" s="4"/>
      <c r="AA150" s="4"/>
      <c r="AB150" s="4"/>
    </row>
    <row r="151" spans="1:28" x14ac:dyDescent="0.25">
      <c r="A151" s="4">
        <v>50</v>
      </c>
      <c r="B151" s="4">
        <v>0</v>
      </c>
      <c r="C151" s="4">
        <v>0</v>
      </c>
      <c r="D151" s="4">
        <v>1</v>
      </c>
      <c r="E151" s="4">
        <v>205</v>
      </c>
      <c r="F151" s="4">
        <f>ROUND(Source!S136,O151)</f>
        <v>26874988.780000001</v>
      </c>
      <c r="G151" s="4" t="s">
        <v>60</v>
      </c>
      <c r="H151" s="4" t="s">
        <v>61</v>
      </c>
      <c r="I151" s="4"/>
      <c r="J151" s="4"/>
      <c r="K151" s="4">
        <v>205</v>
      </c>
      <c r="L151" s="4">
        <v>14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3011716.26</v>
      </c>
      <c r="X151" s="4">
        <v>1</v>
      </c>
      <c r="Y151" s="4">
        <v>3011716.26</v>
      </c>
      <c r="Z151" s="4"/>
      <c r="AA151" s="4"/>
      <c r="AB151" s="4"/>
    </row>
    <row r="152" spans="1:28" x14ac:dyDescent="0.25">
      <c r="A152" s="4">
        <v>50</v>
      </c>
      <c r="B152" s="4">
        <v>0</v>
      </c>
      <c r="C152" s="4">
        <v>0</v>
      </c>
      <c r="D152" s="4">
        <v>1</v>
      </c>
      <c r="E152" s="4">
        <v>232</v>
      </c>
      <c r="F152" s="4">
        <f>ROUND(Source!BC136,O152)</f>
        <v>0</v>
      </c>
      <c r="G152" s="4" t="s">
        <v>62</v>
      </c>
      <c r="H152" s="4" t="s">
        <v>63</v>
      </c>
      <c r="I152" s="4"/>
      <c r="J152" s="4"/>
      <c r="K152" s="4">
        <v>232</v>
      </c>
      <c r="L152" s="4">
        <v>15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5">
      <c r="A153" s="4">
        <v>50</v>
      </c>
      <c r="B153" s="4">
        <v>0</v>
      </c>
      <c r="C153" s="4">
        <v>0</v>
      </c>
      <c r="D153" s="4">
        <v>1</v>
      </c>
      <c r="E153" s="4">
        <v>214</v>
      </c>
      <c r="F153" s="4">
        <f>ROUND(Source!AS136,O153)</f>
        <v>0</v>
      </c>
      <c r="G153" s="4" t="s">
        <v>64</v>
      </c>
      <c r="H153" s="4" t="s">
        <v>65</v>
      </c>
      <c r="I153" s="4"/>
      <c r="J153" s="4"/>
      <c r="K153" s="4">
        <v>214</v>
      </c>
      <c r="L153" s="4">
        <v>16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5">
      <c r="A154" s="4">
        <v>50</v>
      </c>
      <c r="B154" s="4">
        <v>0</v>
      </c>
      <c r="C154" s="4">
        <v>0</v>
      </c>
      <c r="D154" s="4">
        <v>1</v>
      </c>
      <c r="E154" s="4">
        <v>215</v>
      </c>
      <c r="F154" s="4">
        <f>ROUND(Source!AT136,O154)</f>
        <v>0</v>
      </c>
      <c r="G154" s="4" t="s">
        <v>66</v>
      </c>
      <c r="H154" s="4" t="s">
        <v>67</v>
      </c>
      <c r="I154" s="4"/>
      <c r="J154" s="4"/>
      <c r="K154" s="4">
        <v>215</v>
      </c>
      <c r="L154" s="4">
        <v>17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5">
      <c r="A155" s="4">
        <v>50</v>
      </c>
      <c r="B155" s="4">
        <v>0</v>
      </c>
      <c r="C155" s="4">
        <v>0</v>
      </c>
      <c r="D155" s="4">
        <v>1</v>
      </c>
      <c r="E155" s="4">
        <v>217</v>
      </c>
      <c r="F155" s="4">
        <f>ROUND(Source!AU136,O155)</f>
        <v>90160460.049999997</v>
      </c>
      <c r="G155" s="4" t="s">
        <v>68</v>
      </c>
      <c r="H155" s="4" t="s">
        <v>69</v>
      </c>
      <c r="I155" s="4"/>
      <c r="J155" s="4"/>
      <c r="K155" s="4">
        <v>217</v>
      </c>
      <c r="L155" s="4">
        <v>18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10339544.439999999</v>
      </c>
      <c r="X155" s="4">
        <v>1</v>
      </c>
      <c r="Y155" s="4">
        <v>10339544.439999999</v>
      </c>
      <c r="Z155" s="4"/>
      <c r="AA155" s="4"/>
      <c r="AB155" s="4"/>
    </row>
    <row r="156" spans="1:28" x14ac:dyDescent="0.25">
      <c r="A156" s="4">
        <v>50</v>
      </c>
      <c r="B156" s="4">
        <v>0</v>
      </c>
      <c r="C156" s="4">
        <v>0</v>
      </c>
      <c r="D156" s="4">
        <v>1</v>
      </c>
      <c r="E156" s="4">
        <v>230</v>
      </c>
      <c r="F156" s="4">
        <f>ROUND(Source!BA136,O156)</f>
        <v>0</v>
      </c>
      <c r="G156" s="4" t="s">
        <v>70</v>
      </c>
      <c r="H156" s="4" t="s">
        <v>71</v>
      </c>
      <c r="I156" s="4"/>
      <c r="J156" s="4"/>
      <c r="K156" s="4">
        <v>230</v>
      </c>
      <c r="L156" s="4">
        <v>19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 x14ac:dyDescent="0.25">
      <c r="A157" s="4">
        <v>50</v>
      </c>
      <c r="B157" s="4">
        <v>0</v>
      </c>
      <c r="C157" s="4">
        <v>0</v>
      </c>
      <c r="D157" s="4">
        <v>1</v>
      </c>
      <c r="E157" s="4">
        <v>206</v>
      </c>
      <c r="F157" s="4">
        <f>ROUND(Source!T136,O157)</f>
        <v>0</v>
      </c>
      <c r="G157" s="4" t="s">
        <v>72</v>
      </c>
      <c r="H157" s="4" t="s">
        <v>73</v>
      </c>
      <c r="I157" s="4"/>
      <c r="J157" s="4"/>
      <c r="K157" s="4">
        <v>206</v>
      </c>
      <c r="L157" s="4">
        <v>20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5">
      <c r="A158" s="4">
        <v>50</v>
      </c>
      <c r="B158" s="4">
        <v>0</v>
      </c>
      <c r="C158" s="4">
        <v>0</v>
      </c>
      <c r="D158" s="4">
        <v>1</v>
      </c>
      <c r="E158" s="4">
        <v>207</v>
      </c>
      <c r="F158" s="4">
        <f>Source!U136</f>
        <v>63181.895599999989</v>
      </c>
      <c r="G158" s="4" t="s">
        <v>74</v>
      </c>
      <c r="H158" s="4" t="s">
        <v>75</v>
      </c>
      <c r="I158" s="4"/>
      <c r="J158" s="4"/>
      <c r="K158" s="4">
        <v>207</v>
      </c>
      <c r="L158" s="4">
        <v>21</v>
      </c>
      <c r="M158" s="4">
        <v>3</v>
      </c>
      <c r="N158" s="4" t="s">
        <v>3</v>
      </c>
      <c r="O158" s="4">
        <v>-1</v>
      </c>
      <c r="P158" s="4"/>
      <c r="Q158" s="4"/>
      <c r="R158" s="4"/>
      <c r="S158" s="4"/>
      <c r="T158" s="4"/>
      <c r="U158" s="4"/>
      <c r="V158" s="4"/>
      <c r="W158" s="4">
        <v>7368.8928999999998</v>
      </c>
      <c r="X158" s="4">
        <v>1</v>
      </c>
      <c r="Y158" s="4">
        <v>7368.8928999999998</v>
      </c>
      <c r="Z158" s="4"/>
      <c r="AA158" s="4"/>
      <c r="AB158" s="4"/>
    </row>
    <row r="159" spans="1:28" x14ac:dyDescent="0.25">
      <c r="A159" s="4">
        <v>50</v>
      </c>
      <c r="B159" s="4">
        <v>0</v>
      </c>
      <c r="C159" s="4">
        <v>0</v>
      </c>
      <c r="D159" s="4">
        <v>1</v>
      </c>
      <c r="E159" s="4">
        <v>208</v>
      </c>
      <c r="F159" s="4">
        <f>Source!V136</f>
        <v>0</v>
      </c>
      <c r="G159" s="4" t="s">
        <v>76</v>
      </c>
      <c r="H159" s="4" t="s">
        <v>77</v>
      </c>
      <c r="I159" s="4"/>
      <c r="J159" s="4"/>
      <c r="K159" s="4">
        <v>208</v>
      </c>
      <c r="L159" s="4">
        <v>22</v>
      </c>
      <c r="M159" s="4">
        <v>3</v>
      </c>
      <c r="N159" s="4" t="s">
        <v>3</v>
      </c>
      <c r="O159" s="4">
        <v>-1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5">
      <c r="A160" s="4">
        <v>50</v>
      </c>
      <c r="B160" s="4">
        <v>0</v>
      </c>
      <c r="C160" s="4">
        <v>0</v>
      </c>
      <c r="D160" s="4">
        <v>1</v>
      </c>
      <c r="E160" s="4">
        <v>209</v>
      </c>
      <c r="F160" s="4">
        <f>ROUND(Source!W136,O160)</f>
        <v>0</v>
      </c>
      <c r="G160" s="4" t="s">
        <v>78</v>
      </c>
      <c r="H160" s="4" t="s">
        <v>79</v>
      </c>
      <c r="I160" s="4"/>
      <c r="J160" s="4"/>
      <c r="K160" s="4">
        <v>209</v>
      </c>
      <c r="L160" s="4">
        <v>23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06" x14ac:dyDescent="0.25">
      <c r="A161" s="4">
        <v>50</v>
      </c>
      <c r="B161" s="4">
        <v>0</v>
      </c>
      <c r="C161" s="4">
        <v>0</v>
      </c>
      <c r="D161" s="4">
        <v>1</v>
      </c>
      <c r="E161" s="4">
        <v>233</v>
      </c>
      <c r="F161" s="4">
        <f>ROUND(Source!BD136,O161)</f>
        <v>0</v>
      </c>
      <c r="G161" s="4" t="s">
        <v>80</v>
      </c>
      <c r="H161" s="4" t="s">
        <v>81</v>
      </c>
      <c r="I161" s="4"/>
      <c r="J161" s="4"/>
      <c r="K161" s="4">
        <v>233</v>
      </c>
      <c r="L161" s="4">
        <v>24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06" x14ac:dyDescent="0.25">
      <c r="A162" s="4">
        <v>50</v>
      </c>
      <c r="B162" s="4">
        <v>0</v>
      </c>
      <c r="C162" s="4">
        <v>0</v>
      </c>
      <c r="D162" s="4">
        <v>1</v>
      </c>
      <c r="E162" s="4">
        <v>210</v>
      </c>
      <c r="F162" s="4">
        <f>ROUND(Source!X136,O162)</f>
        <v>18812492.16</v>
      </c>
      <c r="G162" s="4" t="s">
        <v>82</v>
      </c>
      <c r="H162" s="4" t="s">
        <v>83</v>
      </c>
      <c r="I162" s="4"/>
      <c r="J162" s="4"/>
      <c r="K162" s="4">
        <v>210</v>
      </c>
      <c r="L162" s="4">
        <v>25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2108201.39</v>
      </c>
      <c r="X162" s="4">
        <v>1</v>
      </c>
      <c r="Y162" s="4">
        <v>2108201.39</v>
      </c>
      <c r="Z162" s="4"/>
      <c r="AA162" s="4"/>
      <c r="AB162" s="4"/>
    </row>
    <row r="163" spans="1:206" x14ac:dyDescent="0.25">
      <c r="A163" s="4">
        <v>50</v>
      </c>
      <c r="B163" s="4">
        <v>0</v>
      </c>
      <c r="C163" s="4">
        <v>0</v>
      </c>
      <c r="D163" s="4">
        <v>1</v>
      </c>
      <c r="E163" s="4">
        <v>211</v>
      </c>
      <c r="F163" s="4">
        <f>ROUND(Source!Y136,O163)</f>
        <v>2687498.88</v>
      </c>
      <c r="G163" s="4" t="s">
        <v>84</v>
      </c>
      <c r="H163" s="4" t="s">
        <v>85</v>
      </c>
      <c r="I163" s="4"/>
      <c r="J163" s="4"/>
      <c r="K163" s="4">
        <v>211</v>
      </c>
      <c r="L163" s="4">
        <v>26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301171.64</v>
      </c>
      <c r="X163" s="4">
        <v>1</v>
      </c>
      <c r="Y163" s="4">
        <v>301171.64</v>
      </c>
      <c r="Z163" s="4"/>
      <c r="AA163" s="4"/>
      <c r="AB163" s="4"/>
    </row>
    <row r="164" spans="1:206" x14ac:dyDescent="0.25">
      <c r="A164" s="4">
        <v>50</v>
      </c>
      <c r="B164" s="4">
        <v>0</v>
      </c>
      <c r="C164" s="4">
        <v>0</v>
      </c>
      <c r="D164" s="4">
        <v>1</v>
      </c>
      <c r="E164" s="4">
        <v>224</v>
      </c>
      <c r="F164" s="4">
        <f>ROUND(Source!AR136,O164)</f>
        <v>90160460.049999997</v>
      </c>
      <c r="G164" s="4" t="s">
        <v>86</v>
      </c>
      <c r="H164" s="4" t="s">
        <v>87</v>
      </c>
      <c r="I164" s="4"/>
      <c r="J164" s="4"/>
      <c r="K164" s="4">
        <v>224</v>
      </c>
      <c r="L164" s="4">
        <v>27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10339544.439999999</v>
      </c>
      <c r="X164" s="4">
        <v>1</v>
      </c>
      <c r="Y164" s="4">
        <v>10339544.439999999</v>
      </c>
      <c r="Z164" s="4"/>
      <c r="AA164" s="4"/>
      <c r="AB164" s="4"/>
    </row>
    <row r="165" spans="1:206" x14ac:dyDescent="0.25">
      <c r="A165" s="4">
        <v>50</v>
      </c>
      <c r="B165" s="4">
        <v>1</v>
      </c>
      <c r="C165" s="4">
        <v>0</v>
      </c>
      <c r="D165" s="4">
        <v>2</v>
      </c>
      <c r="E165" s="4">
        <v>0</v>
      </c>
      <c r="F165" s="4">
        <f>ROUND(F164,O165)</f>
        <v>90160460.049999997</v>
      </c>
      <c r="G165" s="4" t="s">
        <v>103</v>
      </c>
      <c r="H165" s="4" t="s">
        <v>104</v>
      </c>
      <c r="I165" s="4"/>
      <c r="J165" s="4"/>
      <c r="K165" s="4">
        <v>212</v>
      </c>
      <c r="L165" s="4">
        <v>28</v>
      </c>
      <c r="M165" s="4">
        <v>0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10339544.439999999</v>
      </c>
      <c r="X165" s="4">
        <v>1</v>
      </c>
      <c r="Y165" s="4">
        <v>10339544.439999999</v>
      </c>
      <c r="Z165" s="4"/>
      <c r="AA165" s="4"/>
      <c r="AB165" s="4"/>
    </row>
    <row r="166" spans="1:206" x14ac:dyDescent="0.25">
      <c r="A166" s="4">
        <v>50</v>
      </c>
      <c r="B166" s="4">
        <v>1</v>
      </c>
      <c r="C166" s="4">
        <v>0</v>
      </c>
      <c r="D166" s="4">
        <v>2</v>
      </c>
      <c r="E166" s="4">
        <v>0</v>
      </c>
      <c r="F166" s="4">
        <f>ROUND(F165*0.2,O166)</f>
        <v>18032092.010000002</v>
      </c>
      <c r="G166" s="4" t="s">
        <v>105</v>
      </c>
      <c r="H166" s="4" t="s">
        <v>106</v>
      </c>
      <c r="I166" s="4"/>
      <c r="J166" s="4"/>
      <c r="K166" s="4">
        <v>212</v>
      </c>
      <c r="L166" s="4">
        <v>29</v>
      </c>
      <c r="M166" s="4">
        <v>0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2067908.89</v>
      </c>
      <c r="X166" s="4">
        <v>1</v>
      </c>
      <c r="Y166" s="4">
        <v>2067908.89</v>
      </c>
      <c r="Z166" s="4"/>
      <c r="AA166" s="4"/>
      <c r="AB166" s="4"/>
    </row>
    <row r="167" spans="1:206" x14ac:dyDescent="0.25">
      <c r="A167" s="4">
        <v>50</v>
      </c>
      <c r="B167" s="4">
        <v>1</v>
      </c>
      <c r="C167" s="4">
        <v>0</v>
      </c>
      <c r="D167" s="4">
        <v>2</v>
      </c>
      <c r="E167" s="4">
        <v>213</v>
      </c>
      <c r="F167" s="4">
        <f>ROUND(F165+F166,O167)</f>
        <v>108192552.06</v>
      </c>
      <c r="G167" s="4" t="s">
        <v>107</v>
      </c>
      <c r="H167" s="4" t="s">
        <v>86</v>
      </c>
      <c r="I167" s="4"/>
      <c r="J167" s="4"/>
      <c r="K167" s="4">
        <v>212</v>
      </c>
      <c r="L167" s="4">
        <v>30</v>
      </c>
      <c r="M167" s="4">
        <v>0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12407453.33</v>
      </c>
      <c r="X167" s="4">
        <v>1</v>
      </c>
      <c r="Y167" s="4">
        <v>12407453.33</v>
      </c>
      <c r="Z167" s="4"/>
      <c r="AA167" s="4"/>
      <c r="AB167" s="4"/>
    </row>
    <row r="169" spans="1:206" x14ac:dyDescent="0.25">
      <c r="A169" s="2">
        <v>51</v>
      </c>
      <c r="B169" s="2">
        <f>B12</f>
        <v>204</v>
      </c>
      <c r="C169" s="2">
        <f>A12</f>
        <v>1</v>
      </c>
      <c r="D169" s="2">
        <f>ROW(A12)</f>
        <v>12</v>
      </c>
      <c r="E169" s="2"/>
      <c r="F169" s="2" t="str">
        <f>IF(F12&lt;&gt;"",F12,"")</f>
        <v>Новый объект</v>
      </c>
      <c r="G169" s="2" t="str">
        <f>IF(G12&lt;&gt;"",G12,"")</f>
        <v>Оказание услуг по очистке кровли</v>
      </c>
      <c r="H169" s="2">
        <v>0</v>
      </c>
      <c r="I169" s="2"/>
      <c r="J169" s="2"/>
      <c r="K169" s="2"/>
      <c r="L169" s="2"/>
      <c r="M169" s="2"/>
      <c r="N169" s="2"/>
      <c r="O169" s="2">
        <f t="shared" ref="O169:T169" si="47">ROUND(O136,2)</f>
        <v>53590917.590000004</v>
      </c>
      <c r="P169" s="2">
        <f t="shared" si="47"/>
        <v>0</v>
      </c>
      <c r="Q169" s="2">
        <f t="shared" si="47"/>
        <v>26715928.809999999</v>
      </c>
      <c r="R169" s="2">
        <f t="shared" si="47"/>
        <v>13953288.35</v>
      </c>
      <c r="S169" s="2">
        <f t="shared" si="47"/>
        <v>26874988.780000001</v>
      </c>
      <c r="T169" s="2">
        <f t="shared" si="47"/>
        <v>0</v>
      </c>
      <c r="U169" s="2">
        <f>U136</f>
        <v>63181.895599999989</v>
      </c>
      <c r="V169" s="2">
        <f>V136</f>
        <v>0</v>
      </c>
      <c r="W169" s="2">
        <f>ROUND(W136,2)</f>
        <v>0</v>
      </c>
      <c r="X169" s="2">
        <f>ROUND(X136,2)</f>
        <v>18812492.16</v>
      </c>
      <c r="Y169" s="2">
        <f>ROUND(Y136,2)</f>
        <v>2687498.88</v>
      </c>
      <c r="Z169" s="2"/>
      <c r="AA169" s="2"/>
      <c r="AB169" s="2"/>
      <c r="AC169" s="38"/>
      <c r="AD169" s="38"/>
      <c r="AE169" s="38"/>
      <c r="AF169" s="38"/>
      <c r="AG169" s="2"/>
      <c r="AH169" s="38"/>
      <c r="AI169" s="38"/>
      <c r="AJ169" s="2"/>
      <c r="AK169" s="2"/>
      <c r="AL169" s="2"/>
      <c r="AM169" s="2"/>
      <c r="AN169" s="2"/>
      <c r="AO169" s="2">
        <f t="shared" ref="AO169:BD169" si="48">ROUND(AO136,2)</f>
        <v>0</v>
      </c>
      <c r="AP169" s="2">
        <f t="shared" si="48"/>
        <v>0</v>
      </c>
      <c r="AQ169" s="2">
        <f t="shared" si="48"/>
        <v>0</v>
      </c>
      <c r="AR169" s="2">
        <f t="shared" si="48"/>
        <v>90160460.049999997</v>
      </c>
      <c r="AS169" s="2">
        <f t="shared" si="48"/>
        <v>0</v>
      </c>
      <c r="AT169" s="2">
        <f t="shared" si="48"/>
        <v>0</v>
      </c>
      <c r="AU169" s="2">
        <f t="shared" si="48"/>
        <v>90160460.049999997</v>
      </c>
      <c r="AV169" s="2">
        <f t="shared" si="48"/>
        <v>0</v>
      </c>
      <c r="AW169" s="2">
        <f t="shared" si="48"/>
        <v>0</v>
      </c>
      <c r="AX169" s="2">
        <f t="shared" si="48"/>
        <v>0</v>
      </c>
      <c r="AY169" s="2">
        <f t="shared" si="48"/>
        <v>0</v>
      </c>
      <c r="AZ169" s="2">
        <f t="shared" si="48"/>
        <v>0</v>
      </c>
      <c r="BA169" s="2">
        <f t="shared" si="48"/>
        <v>0</v>
      </c>
      <c r="BB169" s="2">
        <f t="shared" si="48"/>
        <v>0</v>
      </c>
      <c r="BC169" s="2">
        <f t="shared" si="48"/>
        <v>0</v>
      </c>
      <c r="BD169" s="2">
        <f t="shared" si="48"/>
        <v>0</v>
      </c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38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>
        <v>0</v>
      </c>
    </row>
    <row r="171" spans="1:206" x14ac:dyDescent="0.25">
      <c r="A171" s="4">
        <v>50</v>
      </c>
      <c r="B171" s="4">
        <v>0</v>
      </c>
      <c r="C171" s="4">
        <v>0</v>
      </c>
      <c r="D171" s="4">
        <v>1</v>
      </c>
      <c r="E171" s="4">
        <v>201</v>
      </c>
      <c r="F171" s="4">
        <f>ROUND(Source!O169,O171)</f>
        <v>53590917.590000004</v>
      </c>
      <c r="G171" s="4" t="s">
        <v>34</v>
      </c>
      <c r="H171" s="4" t="s">
        <v>35</v>
      </c>
      <c r="I171" s="4"/>
      <c r="J171" s="4"/>
      <c r="K171" s="4">
        <v>201</v>
      </c>
      <c r="L171" s="4">
        <v>1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6179218.9800000004</v>
      </c>
      <c r="X171" s="4">
        <v>1</v>
      </c>
      <c r="Y171" s="4">
        <v>6179218.9800000004</v>
      </c>
      <c r="Z171" s="4"/>
      <c r="AA171" s="4"/>
      <c r="AB171" s="4"/>
    </row>
    <row r="172" spans="1:206" x14ac:dyDescent="0.25">
      <c r="A172" s="4">
        <v>50</v>
      </c>
      <c r="B172" s="4">
        <v>0</v>
      </c>
      <c r="C172" s="4">
        <v>0</v>
      </c>
      <c r="D172" s="4">
        <v>1</v>
      </c>
      <c r="E172" s="4">
        <v>202</v>
      </c>
      <c r="F172" s="4">
        <f>ROUND(Source!P169,O172)</f>
        <v>0</v>
      </c>
      <c r="G172" s="4" t="s">
        <v>36</v>
      </c>
      <c r="H172" s="4" t="s">
        <v>37</v>
      </c>
      <c r="I172" s="4"/>
      <c r="J172" s="4"/>
      <c r="K172" s="4">
        <v>202</v>
      </c>
      <c r="L172" s="4">
        <v>2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06" x14ac:dyDescent="0.25">
      <c r="A173" s="4">
        <v>50</v>
      </c>
      <c r="B173" s="4">
        <v>0</v>
      </c>
      <c r="C173" s="4">
        <v>0</v>
      </c>
      <c r="D173" s="4">
        <v>1</v>
      </c>
      <c r="E173" s="4">
        <v>222</v>
      </c>
      <c r="F173" s="4">
        <f>ROUND(Source!AO169,O173)</f>
        <v>0</v>
      </c>
      <c r="G173" s="4" t="s">
        <v>38</v>
      </c>
      <c r="H173" s="4" t="s">
        <v>39</v>
      </c>
      <c r="I173" s="4"/>
      <c r="J173" s="4"/>
      <c r="K173" s="4">
        <v>222</v>
      </c>
      <c r="L173" s="4">
        <v>3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06" x14ac:dyDescent="0.25">
      <c r="A174" s="4">
        <v>50</v>
      </c>
      <c r="B174" s="4">
        <v>0</v>
      </c>
      <c r="C174" s="4">
        <v>0</v>
      </c>
      <c r="D174" s="4">
        <v>1</v>
      </c>
      <c r="E174" s="4">
        <v>225</v>
      </c>
      <c r="F174" s="4">
        <f>ROUND(Source!AV169,O174)</f>
        <v>0</v>
      </c>
      <c r="G174" s="4" t="s">
        <v>40</v>
      </c>
      <c r="H174" s="4" t="s">
        <v>41</v>
      </c>
      <c r="I174" s="4"/>
      <c r="J174" s="4"/>
      <c r="K174" s="4">
        <v>225</v>
      </c>
      <c r="L174" s="4">
        <v>4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06" x14ac:dyDescent="0.25">
      <c r="A175" s="4">
        <v>50</v>
      </c>
      <c r="B175" s="4">
        <v>0</v>
      </c>
      <c r="C175" s="4">
        <v>0</v>
      </c>
      <c r="D175" s="4">
        <v>1</v>
      </c>
      <c r="E175" s="4">
        <v>226</v>
      </c>
      <c r="F175" s="4">
        <f>ROUND(Source!AW169,O175)</f>
        <v>0</v>
      </c>
      <c r="G175" s="4" t="s">
        <v>42</v>
      </c>
      <c r="H175" s="4" t="s">
        <v>43</v>
      </c>
      <c r="I175" s="4"/>
      <c r="J175" s="4"/>
      <c r="K175" s="4">
        <v>226</v>
      </c>
      <c r="L175" s="4">
        <v>5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06" x14ac:dyDescent="0.25">
      <c r="A176" s="4">
        <v>50</v>
      </c>
      <c r="B176" s="4">
        <v>0</v>
      </c>
      <c r="C176" s="4">
        <v>0</v>
      </c>
      <c r="D176" s="4">
        <v>1</v>
      </c>
      <c r="E176" s="4">
        <v>227</v>
      </c>
      <c r="F176" s="4">
        <f>ROUND(Source!AX169,O176)</f>
        <v>0</v>
      </c>
      <c r="G176" s="4" t="s">
        <v>44</v>
      </c>
      <c r="H176" s="4" t="s">
        <v>45</v>
      </c>
      <c r="I176" s="4"/>
      <c r="J176" s="4"/>
      <c r="K176" s="4">
        <v>227</v>
      </c>
      <c r="L176" s="4">
        <v>6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8" x14ac:dyDescent="0.25">
      <c r="A177" s="4">
        <v>50</v>
      </c>
      <c r="B177" s="4">
        <v>0</v>
      </c>
      <c r="C177" s="4">
        <v>0</v>
      </c>
      <c r="D177" s="4">
        <v>1</v>
      </c>
      <c r="E177" s="4">
        <v>228</v>
      </c>
      <c r="F177" s="4">
        <f>ROUND(Source!AY169,O177)</f>
        <v>0</v>
      </c>
      <c r="G177" s="4" t="s">
        <v>46</v>
      </c>
      <c r="H177" s="4" t="s">
        <v>47</v>
      </c>
      <c r="I177" s="4"/>
      <c r="J177" s="4"/>
      <c r="K177" s="4">
        <v>228</v>
      </c>
      <c r="L177" s="4">
        <v>7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8" x14ac:dyDescent="0.25">
      <c r="A178" s="4">
        <v>50</v>
      </c>
      <c r="B178" s="4">
        <v>0</v>
      </c>
      <c r="C178" s="4">
        <v>0</v>
      </c>
      <c r="D178" s="4">
        <v>1</v>
      </c>
      <c r="E178" s="4">
        <v>216</v>
      </c>
      <c r="F178" s="4">
        <f>ROUND(Source!AP169,O178)</f>
        <v>0</v>
      </c>
      <c r="G178" s="4" t="s">
        <v>48</v>
      </c>
      <c r="H178" s="4" t="s">
        <v>49</v>
      </c>
      <c r="I178" s="4"/>
      <c r="J178" s="4"/>
      <c r="K178" s="4">
        <v>216</v>
      </c>
      <c r="L178" s="4">
        <v>8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8" x14ac:dyDescent="0.25">
      <c r="A179" s="4">
        <v>50</v>
      </c>
      <c r="B179" s="4">
        <v>0</v>
      </c>
      <c r="C179" s="4">
        <v>0</v>
      </c>
      <c r="D179" s="4">
        <v>1</v>
      </c>
      <c r="E179" s="4">
        <v>223</v>
      </c>
      <c r="F179" s="4">
        <f>ROUND(Source!AQ169,O179)</f>
        <v>0</v>
      </c>
      <c r="G179" s="4" t="s">
        <v>50</v>
      </c>
      <c r="H179" s="4" t="s">
        <v>51</v>
      </c>
      <c r="I179" s="4"/>
      <c r="J179" s="4"/>
      <c r="K179" s="4">
        <v>223</v>
      </c>
      <c r="L179" s="4">
        <v>9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8" x14ac:dyDescent="0.25">
      <c r="A180" s="4">
        <v>50</v>
      </c>
      <c r="B180" s="4">
        <v>0</v>
      </c>
      <c r="C180" s="4">
        <v>0</v>
      </c>
      <c r="D180" s="4">
        <v>1</v>
      </c>
      <c r="E180" s="4">
        <v>229</v>
      </c>
      <c r="F180" s="4">
        <f>ROUND(Source!AZ169,O180)</f>
        <v>0</v>
      </c>
      <c r="G180" s="4" t="s">
        <v>52</v>
      </c>
      <c r="H180" s="4" t="s">
        <v>53</v>
      </c>
      <c r="I180" s="4"/>
      <c r="J180" s="4"/>
      <c r="K180" s="4">
        <v>229</v>
      </c>
      <c r="L180" s="4">
        <v>10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8" x14ac:dyDescent="0.25">
      <c r="A181" s="4">
        <v>50</v>
      </c>
      <c r="B181" s="4">
        <v>0</v>
      </c>
      <c r="C181" s="4">
        <v>0</v>
      </c>
      <c r="D181" s="4">
        <v>1</v>
      </c>
      <c r="E181" s="4">
        <v>203</v>
      </c>
      <c r="F181" s="4">
        <f>ROUND(Source!Q169,O181)</f>
        <v>26715928.809999999</v>
      </c>
      <c r="G181" s="4" t="s">
        <v>54</v>
      </c>
      <c r="H181" s="4" t="s">
        <v>55</v>
      </c>
      <c r="I181" s="4"/>
      <c r="J181" s="4"/>
      <c r="K181" s="4">
        <v>203</v>
      </c>
      <c r="L181" s="4">
        <v>11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3167502.72</v>
      </c>
      <c r="X181" s="4">
        <v>1</v>
      </c>
      <c r="Y181" s="4">
        <v>3167502.72</v>
      </c>
      <c r="Z181" s="4"/>
      <c r="AA181" s="4"/>
      <c r="AB181" s="4"/>
    </row>
    <row r="182" spans="1:28" x14ac:dyDescent="0.25">
      <c r="A182" s="4">
        <v>50</v>
      </c>
      <c r="B182" s="4">
        <v>0</v>
      </c>
      <c r="C182" s="4">
        <v>0</v>
      </c>
      <c r="D182" s="4">
        <v>1</v>
      </c>
      <c r="E182" s="4">
        <v>231</v>
      </c>
      <c r="F182" s="4">
        <f>ROUND(Source!BB169,O182)</f>
        <v>0</v>
      </c>
      <c r="G182" s="4" t="s">
        <v>56</v>
      </c>
      <c r="H182" s="4" t="s">
        <v>57</v>
      </c>
      <c r="I182" s="4"/>
      <c r="J182" s="4"/>
      <c r="K182" s="4">
        <v>231</v>
      </c>
      <c r="L182" s="4">
        <v>12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8" x14ac:dyDescent="0.25">
      <c r="A183" s="4">
        <v>50</v>
      </c>
      <c r="B183" s="4">
        <v>0</v>
      </c>
      <c r="C183" s="4">
        <v>0</v>
      </c>
      <c r="D183" s="4">
        <v>1</v>
      </c>
      <c r="E183" s="4">
        <v>204</v>
      </c>
      <c r="F183" s="4">
        <f>ROUND(Source!R169,O183)</f>
        <v>13953288.35</v>
      </c>
      <c r="G183" s="4" t="s">
        <v>58</v>
      </c>
      <c r="H183" s="4" t="s">
        <v>59</v>
      </c>
      <c r="I183" s="4"/>
      <c r="J183" s="4"/>
      <c r="K183" s="4">
        <v>204</v>
      </c>
      <c r="L183" s="4">
        <v>13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1621252.25</v>
      </c>
      <c r="X183" s="4">
        <v>1</v>
      </c>
      <c r="Y183" s="4">
        <v>1621252.25</v>
      </c>
      <c r="Z183" s="4"/>
      <c r="AA183" s="4"/>
      <c r="AB183" s="4"/>
    </row>
    <row r="184" spans="1:28" x14ac:dyDescent="0.25">
      <c r="A184" s="4">
        <v>50</v>
      </c>
      <c r="B184" s="4">
        <v>0</v>
      </c>
      <c r="C184" s="4">
        <v>0</v>
      </c>
      <c r="D184" s="4">
        <v>1</v>
      </c>
      <c r="E184" s="4">
        <v>205</v>
      </c>
      <c r="F184" s="4">
        <f>ROUND(Source!S169,O184)</f>
        <v>26874988.780000001</v>
      </c>
      <c r="G184" s="4" t="s">
        <v>60</v>
      </c>
      <c r="H184" s="4" t="s">
        <v>61</v>
      </c>
      <c r="I184" s="4"/>
      <c r="J184" s="4"/>
      <c r="K184" s="4">
        <v>205</v>
      </c>
      <c r="L184" s="4">
        <v>14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3011716.26</v>
      </c>
      <c r="X184" s="4">
        <v>1</v>
      </c>
      <c r="Y184" s="4">
        <v>3011716.26</v>
      </c>
      <c r="Z184" s="4"/>
      <c r="AA184" s="4"/>
      <c r="AB184" s="4"/>
    </row>
    <row r="185" spans="1:28" x14ac:dyDescent="0.25">
      <c r="A185" s="4">
        <v>50</v>
      </c>
      <c r="B185" s="4">
        <v>0</v>
      </c>
      <c r="C185" s="4">
        <v>0</v>
      </c>
      <c r="D185" s="4">
        <v>1</v>
      </c>
      <c r="E185" s="4">
        <v>232</v>
      </c>
      <c r="F185" s="4">
        <f>ROUND(Source!BC169,O185)</f>
        <v>0</v>
      </c>
      <c r="G185" s="4" t="s">
        <v>62</v>
      </c>
      <c r="H185" s="4" t="s">
        <v>63</v>
      </c>
      <c r="I185" s="4"/>
      <c r="J185" s="4"/>
      <c r="K185" s="4">
        <v>232</v>
      </c>
      <c r="L185" s="4">
        <v>15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8" x14ac:dyDescent="0.25">
      <c r="A186" s="4">
        <v>50</v>
      </c>
      <c r="B186" s="4">
        <v>0</v>
      </c>
      <c r="C186" s="4">
        <v>0</v>
      </c>
      <c r="D186" s="4">
        <v>1</v>
      </c>
      <c r="E186" s="4">
        <v>214</v>
      </c>
      <c r="F186" s="4">
        <f>ROUND(Source!AS169,O186)</f>
        <v>0</v>
      </c>
      <c r="G186" s="4" t="s">
        <v>64</v>
      </c>
      <c r="H186" s="4" t="s">
        <v>65</v>
      </c>
      <c r="I186" s="4"/>
      <c r="J186" s="4"/>
      <c r="K186" s="4">
        <v>214</v>
      </c>
      <c r="L186" s="4">
        <v>16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8" x14ac:dyDescent="0.25">
      <c r="A187" s="4">
        <v>50</v>
      </c>
      <c r="B187" s="4">
        <v>0</v>
      </c>
      <c r="C187" s="4">
        <v>0</v>
      </c>
      <c r="D187" s="4">
        <v>1</v>
      </c>
      <c r="E187" s="4">
        <v>215</v>
      </c>
      <c r="F187" s="4">
        <f>ROUND(Source!AT169,O187)</f>
        <v>0</v>
      </c>
      <c r="G187" s="4" t="s">
        <v>66</v>
      </c>
      <c r="H187" s="4" t="s">
        <v>67</v>
      </c>
      <c r="I187" s="4"/>
      <c r="J187" s="4"/>
      <c r="K187" s="4">
        <v>215</v>
      </c>
      <c r="L187" s="4">
        <v>17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8" x14ac:dyDescent="0.25">
      <c r="A188" s="4">
        <v>50</v>
      </c>
      <c r="B188" s="4">
        <v>0</v>
      </c>
      <c r="C188" s="4">
        <v>0</v>
      </c>
      <c r="D188" s="4">
        <v>1</v>
      </c>
      <c r="E188" s="4">
        <v>217</v>
      </c>
      <c r="F188" s="4">
        <f>ROUND(Source!AU169,O188)</f>
        <v>90160460.049999997</v>
      </c>
      <c r="G188" s="4" t="s">
        <v>68</v>
      </c>
      <c r="H188" s="4" t="s">
        <v>69</v>
      </c>
      <c r="I188" s="4"/>
      <c r="J188" s="4"/>
      <c r="K188" s="4">
        <v>217</v>
      </c>
      <c r="L188" s="4">
        <v>18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10339544.439999999</v>
      </c>
      <c r="X188" s="4">
        <v>1</v>
      </c>
      <c r="Y188" s="4">
        <v>10339544.439999999</v>
      </c>
      <c r="Z188" s="4"/>
      <c r="AA188" s="4"/>
      <c r="AB188" s="4"/>
    </row>
    <row r="189" spans="1:28" x14ac:dyDescent="0.25">
      <c r="A189" s="4">
        <v>50</v>
      </c>
      <c r="B189" s="4">
        <v>0</v>
      </c>
      <c r="C189" s="4">
        <v>0</v>
      </c>
      <c r="D189" s="4">
        <v>1</v>
      </c>
      <c r="E189" s="4">
        <v>230</v>
      </c>
      <c r="F189" s="4">
        <f>ROUND(Source!BA169,O189)</f>
        <v>0</v>
      </c>
      <c r="G189" s="4" t="s">
        <v>70</v>
      </c>
      <c r="H189" s="4" t="s">
        <v>71</v>
      </c>
      <c r="I189" s="4"/>
      <c r="J189" s="4"/>
      <c r="K189" s="4">
        <v>230</v>
      </c>
      <c r="L189" s="4">
        <v>19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8" x14ac:dyDescent="0.25">
      <c r="A190" s="4">
        <v>50</v>
      </c>
      <c r="B190" s="4">
        <v>0</v>
      </c>
      <c r="C190" s="4">
        <v>0</v>
      </c>
      <c r="D190" s="4">
        <v>1</v>
      </c>
      <c r="E190" s="4">
        <v>206</v>
      </c>
      <c r="F190" s="4">
        <f>ROUND(Source!T169,O190)</f>
        <v>0</v>
      </c>
      <c r="G190" s="4" t="s">
        <v>72</v>
      </c>
      <c r="H190" s="4" t="s">
        <v>73</v>
      </c>
      <c r="I190" s="4"/>
      <c r="J190" s="4"/>
      <c r="K190" s="4">
        <v>206</v>
      </c>
      <c r="L190" s="4">
        <v>20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8" x14ac:dyDescent="0.25">
      <c r="A191" s="4">
        <v>50</v>
      </c>
      <c r="B191" s="4">
        <v>0</v>
      </c>
      <c r="C191" s="4">
        <v>0</v>
      </c>
      <c r="D191" s="4">
        <v>1</v>
      </c>
      <c r="E191" s="4">
        <v>207</v>
      </c>
      <c r="F191" s="4">
        <f>Source!U169</f>
        <v>63181.895599999989</v>
      </c>
      <c r="G191" s="4" t="s">
        <v>74</v>
      </c>
      <c r="H191" s="4" t="s">
        <v>75</v>
      </c>
      <c r="I191" s="4"/>
      <c r="J191" s="4"/>
      <c r="K191" s="4">
        <v>207</v>
      </c>
      <c r="L191" s="4">
        <v>21</v>
      </c>
      <c r="M191" s="4">
        <v>3</v>
      </c>
      <c r="N191" s="4" t="s">
        <v>3</v>
      </c>
      <c r="O191" s="4">
        <v>-1</v>
      </c>
      <c r="P191" s="4"/>
      <c r="Q191" s="4"/>
      <c r="R191" s="4"/>
      <c r="S191" s="4"/>
      <c r="T191" s="4"/>
      <c r="U191" s="4"/>
      <c r="V191" s="4"/>
      <c r="W191" s="4">
        <v>7368.8928999999998</v>
      </c>
      <c r="X191" s="4">
        <v>1</v>
      </c>
      <c r="Y191" s="4">
        <v>7368.8928999999998</v>
      </c>
      <c r="Z191" s="4"/>
      <c r="AA191" s="4"/>
      <c r="AB191" s="4"/>
    </row>
    <row r="192" spans="1:28" x14ac:dyDescent="0.25">
      <c r="A192" s="4">
        <v>50</v>
      </c>
      <c r="B192" s="4">
        <v>0</v>
      </c>
      <c r="C192" s="4">
        <v>0</v>
      </c>
      <c r="D192" s="4">
        <v>1</v>
      </c>
      <c r="E192" s="4">
        <v>208</v>
      </c>
      <c r="F192" s="4">
        <f>Source!V169</f>
        <v>0</v>
      </c>
      <c r="G192" s="4" t="s">
        <v>76</v>
      </c>
      <c r="H192" s="4" t="s">
        <v>77</v>
      </c>
      <c r="I192" s="4"/>
      <c r="J192" s="4"/>
      <c r="K192" s="4">
        <v>208</v>
      </c>
      <c r="L192" s="4">
        <v>22</v>
      </c>
      <c r="M192" s="4">
        <v>3</v>
      </c>
      <c r="N192" s="4" t="s">
        <v>3</v>
      </c>
      <c r="O192" s="4">
        <v>-1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5">
      <c r="A193" s="4">
        <v>50</v>
      </c>
      <c r="B193" s="4">
        <v>0</v>
      </c>
      <c r="C193" s="4">
        <v>0</v>
      </c>
      <c r="D193" s="4">
        <v>1</v>
      </c>
      <c r="E193" s="4">
        <v>209</v>
      </c>
      <c r="F193" s="4">
        <f>ROUND(Source!W169,O193)</f>
        <v>0</v>
      </c>
      <c r="G193" s="4" t="s">
        <v>78</v>
      </c>
      <c r="H193" s="4" t="s">
        <v>79</v>
      </c>
      <c r="I193" s="4"/>
      <c r="J193" s="4"/>
      <c r="K193" s="4">
        <v>209</v>
      </c>
      <c r="L193" s="4">
        <v>23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8" x14ac:dyDescent="0.25">
      <c r="A194" s="4">
        <v>50</v>
      </c>
      <c r="B194" s="4">
        <v>0</v>
      </c>
      <c r="C194" s="4">
        <v>0</v>
      </c>
      <c r="D194" s="4">
        <v>1</v>
      </c>
      <c r="E194" s="4">
        <v>233</v>
      </c>
      <c r="F194" s="4">
        <f>ROUND(Source!BD169,O194)</f>
        <v>0</v>
      </c>
      <c r="G194" s="4" t="s">
        <v>80</v>
      </c>
      <c r="H194" s="4" t="s">
        <v>81</v>
      </c>
      <c r="I194" s="4"/>
      <c r="J194" s="4"/>
      <c r="K194" s="4">
        <v>233</v>
      </c>
      <c r="L194" s="4">
        <v>24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5">
      <c r="A195" s="4">
        <v>50</v>
      </c>
      <c r="B195" s="4">
        <v>0</v>
      </c>
      <c r="C195" s="4">
        <v>0</v>
      </c>
      <c r="D195" s="4">
        <v>1</v>
      </c>
      <c r="E195" s="4">
        <v>210</v>
      </c>
      <c r="F195" s="4">
        <f>ROUND(Source!X169,O195)</f>
        <v>18812492.16</v>
      </c>
      <c r="G195" s="4" t="s">
        <v>82</v>
      </c>
      <c r="H195" s="4" t="s">
        <v>83</v>
      </c>
      <c r="I195" s="4"/>
      <c r="J195" s="4"/>
      <c r="K195" s="4">
        <v>210</v>
      </c>
      <c r="L195" s="4">
        <v>25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2108201.39</v>
      </c>
      <c r="X195" s="4">
        <v>1</v>
      </c>
      <c r="Y195" s="4">
        <v>2108201.39</v>
      </c>
      <c r="Z195" s="4"/>
      <c r="AA195" s="4"/>
      <c r="AB195" s="4"/>
    </row>
    <row r="196" spans="1:28" x14ac:dyDescent="0.25">
      <c r="A196" s="4">
        <v>50</v>
      </c>
      <c r="B196" s="4">
        <v>0</v>
      </c>
      <c r="C196" s="4">
        <v>0</v>
      </c>
      <c r="D196" s="4">
        <v>1</v>
      </c>
      <c r="E196" s="4">
        <v>211</v>
      </c>
      <c r="F196" s="4">
        <f>ROUND(Source!Y169,O196)</f>
        <v>2687498.88</v>
      </c>
      <c r="G196" s="4" t="s">
        <v>84</v>
      </c>
      <c r="H196" s="4" t="s">
        <v>85</v>
      </c>
      <c r="I196" s="4"/>
      <c r="J196" s="4"/>
      <c r="K196" s="4">
        <v>211</v>
      </c>
      <c r="L196" s="4">
        <v>26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301171.64</v>
      </c>
      <c r="X196" s="4">
        <v>1</v>
      </c>
      <c r="Y196" s="4">
        <v>301171.64</v>
      </c>
      <c r="Z196" s="4"/>
      <c r="AA196" s="4"/>
      <c r="AB196" s="4"/>
    </row>
    <row r="197" spans="1:28" x14ac:dyDescent="0.25">
      <c r="A197" s="4">
        <v>50</v>
      </c>
      <c r="B197" s="4">
        <v>0</v>
      </c>
      <c r="C197" s="4">
        <v>0</v>
      </c>
      <c r="D197" s="4">
        <v>1</v>
      </c>
      <c r="E197" s="4">
        <v>224</v>
      </c>
      <c r="F197" s="4">
        <f>ROUND(Source!AR169,O197)</f>
        <v>90160460.049999997</v>
      </c>
      <c r="G197" s="4" t="s">
        <v>86</v>
      </c>
      <c r="H197" s="4" t="s">
        <v>87</v>
      </c>
      <c r="I197" s="4"/>
      <c r="J197" s="4"/>
      <c r="K197" s="4">
        <v>224</v>
      </c>
      <c r="L197" s="4">
        <v>27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10339544.439999999</v>
      </c>
      <c r="X197" s="4">
        <v>1</v>
      </c>
      <c r="Y197" s="4">
        <v>10339544.439999999</v>
      </c>
      <c r="Z197" s="4"/>
      <c r="AA197" s="4"/>
      <c r="AB197" s="4"/>
    </row>
    <row r="198" spans="1:28" x14ac:dyDescent="0.25">
      <c r="A198" s="4">
        <v>50</v>
      </c>
      <c r="B198" s="4">
        <v>1</v>
      </c>
      <c r="C198" s="4">
        <v>0</v>
      </c>
      <c r="D198" s="4">
        <v>2</v>
      </c>
      <c r="E198" s="4">
        <v>0</v>
      </c>
      <c r="F198" s="4">
        <f>ROUND(F197*0.2,O198)</f>
        <v>18032092.010000002</v>
      </c>
      <c r="G198" s="4" t="s">
        <v>108</v>
      </c>
      <c r="H198" s="4" t="s">
        <v>106</v>
      </c>
      <c r="I198" s="4"/>
      <c r="J198" s="4"/>
      <c r="K198" s="4">
        <v>212</v>
      </c>
      <c r="L198" s="4">
        <v>28</v>
      </c>
      <c r="M198" s="4">
        <v>0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2067908.89</v>
      </c>
      <c r="X198" s="4">
        <v>1</v>
      </c>
      <c r="Y198" s="4">
        <v>2067908.89</v>
      </c>
      <c r="Z198" s="4"/>
      <c r="AA198" s="4"/>
      <c r="AB198" s="4"/>
    </row>
    <row r="199" spans="1:28" x14ac:dyDescent="0.25">
      <c r="A199" s="4">
        <v>50</v>
      </c>
      <c r="B199" s="4">
        <v>1</v>
      </c>
      <c r="C199" s="4">
        <v>0</v>
      </c>
      <c r="D199" s="4">
        <v>2</v>
      </c>
      <c r="E199" s="4">
        <v>0</v>
      </c>
      <c r="F199" s="4">
        <f>ROUND(F198+F197,O199)</f>
        <v>108192552.06</v>
      </c>
      <c r="G199" s="4" t="s">
        <v>109</v>
      </c>
      <c r="H199" s="4" t="s">
        <v>110</v>
      </c>
      <c r="I199" s="4"/>
      <c r="J199" s="4"/>
      <c r="K199" s="4">
        <v>212</v>
      </c>
      <c r="L199" s="4">
        <v>29</v>
      </c>
      <c r="M199" s="4">
        <v>0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12407453.33</v>
      </c>
      <c r="X199" s="4">
        <v>1</v>
      </c>
      <c r="Y199" s="4">
        <v>12407453.33</v>
      </c>
      <c r="Z199" s="4"/>
      <c r="AA199" s="4"/>
      <c r="AB199" s="4"/>
    </row>
    <row r="202" spans="1:28" x14ac:dyDescent="0.25">
      <c r="A202">
        <v>-1</v>
      </c>
    </row>
    <row r="204" spans="1:28" x14ac:dyDescent="0.25">
      <c r="A204" s="3">
        <v>75</v>
      </c>
      <c r="B204" s="3" t="s">
        <v>111</v>
      </c>
      <c r="C204" s="3">
        <v>2025</v>
      </c>
      <c r="D204" s="3">
        <v>0</v>
      </c>
      <c r="E204" s="3">
        <v>7</v>
      </c>
      <c r="F204" s="3"/>
      <c r="G204" s="3">
        <v>0</v>
      </c>
      <c r="H204" s="3">
        <v>1</v>
      </c>
      <c r="I204" s="3">
        <v>0</v>
      </c>
      <c r="J204" s="3">
        <v>1</v>
      </c>
      <c r="K204" s="3">
        <v>78</v>
      </c>
      <c r="L204" s="3">
        <v>30</v>
      </c>
      <c r="M204" s="3">
        <v>0</v>
      </c>
      <c r="N204" s="3">
        <v>75447910</v>
      </c>
      <c r="O204" s="3">
        <v>1</v>
      </c>
    </row>
    <row r="208" spans="1:28" x14ac:dyDescent="0.25">
      <c r="A208">
        <v>65</v>
      </c>
      <c r="C208">
        <v>1</v>
      </c>
      <c r="D208">
        <v>0</v>
      </c>
      <c r="E208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3"/>
  <sheetViews>
    <sheetView workbookViewId="0"/>
  </sheetViews>
  <sheetFormatPr defaultColWidth="9.1796875" defaultRowHeight="12.9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112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74398</v>
      </c>
      <c r="M1">
        <v>10</v>
      </c>
      <c r="N1">
        <v>11</v>
      </c>
      <c r="O1">
        <v>13</v>
      </c>
      <c r="P1">
        <v>0</v>
      </c>
      <c r="Q1">
        <v>1</v>
      </c>
    </row>
    <row r="12" spans="1:133" x14ac:dyDescent="0.25">
      <c r="A12" s="1">
        <v>1</v>
      </c>
      <c r="B12" s="1">
        <v>53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10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5">
      <c r="A14" s="1">
        <v>22</v>
      </c>
      <c r="B14" s="1">
        <v>1</v>
      </c>
      <c r="C14" s="1">
        <v>0</v>
      </c>
      <c r="D14" s="1">
        <v>75447910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5">
      <c r="A16" s="5">
        <v>3</v>
      </c>
      <c r="B16" s="5">
        <v>1</v>
      </c>
      <c r="C16" s="5" t="s">
        <v>3</v>
      </c>
      <c r="D16" s="5" t="s">
        <v>5</v>
      </c>
      <c r="E16" s="6">
        <f>ROUND((Source!F153)/1000,2)</f>
        <v>0</v>
      </c>
      <c r="F16" s="6">
        <f>ROUND((Source!F154)/1000,2)</f>
        <v>0</v>
      </c>
      <c r="G16" s="6">
        <f>ROUND((Source!F145)/1000,2)</f>
        <v>0</v>
      </c>
      <c r="H16" s="6">
        <f>ROUND((Source!F155)/1000+(Source!F156)/1000,2)</f>
        <v>90160.46</v>
      </c>
      <c r="I16" s="6">
        <f>E16+F16+G16+H16</f>
        <v>90160.46</v>
      </c>
      <c r="J16" s="6">
        <f>ROUND((Source!F151+Source!F150)/1000,2)</f>
        <v>40828.28</v>
      </c>
      <c r="AI16" s="5">
        <v>0</v>
      </c>
      <c r="AJ16" s="5">
        <v>-1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6179218.9800000004</v>
      </c>
      <c r="AU16" s="6">
        <v>0</v>
      </c>
      <c r="AV16" s="6">
        <v>0</v>
      </c>
      <c r="AW16" s="6">
        <v>0</v>
      </c>
      <c r="AX16" s="6">
        <v>0</v>
      </c>
      <c r="AY16" s="6">
        <v>3167502.72</v>
      </c>
      <c r="AZ16" s="6">
        <v>1621252.25</v>
      </c>
      <c r="BA16" s="6">
        <v>3011716.26</v>
      </c>
      <c r="BB16" s="6">
        <v>0</v>
      </c>
      <c r="BC16" s="6">
        <v>0</v>
      </c>
      <c r="BD16" s="6">
        <v>10339544.439999999</v>
      </c>
      <c r="BE16" s="6">
        <v>0</v>
      </c>
      <c r="BF16" s="6">
        <v>7368.8928999999998</v>
      </c>
      <c r="BG16" s="6">
        <v>0</v>
      </c>
      <c r="BH16" s="6">
        <v>0</v>
      </c>
      <c r="BI16" s="6">
        <v>2108201.39</v>
      </c>
      <c r="BJ16" s="6">
        <v>301171.64</v>
      </c>
      <c r="BK16" s="6">
        <v>10339544.439999999</v>
      </c>
    </row>
    <row r="18" spans="1:16" x14ac:dyDescent="0.25">
      <c r="A18">
        <v>51</v>
      </c>
      <c r="E18">
        <v>0</v>
      </c>
      <c r="F18">
        <v>0</v>
      </c>
      <c r="G18">
        <v>0</v>
      </c>
      <c r="H18">
        <v>10339.540000000001</v>
      </c>
      <c r="I18">
        <v>10339.540000000001</v>
      </c>
      <c r="J18">
        <v>4632.97</v>
      </c>
    </row>
    <row r="20" spans="1:16" x14ac:dyDescent="0.25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6179218.9800000004</v>
      </c>
      <c r="G20" s="4" t="s">
        <v>34</v>
      </c>
      <c r="H20" s="4" t="s">
        <v>35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6" x14ac:dyDescent="0.25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0</v>
      </c>
      <c r="G21" s="4" t="s">
        <v>36</v>
      </c>
      <c r="H21" s="4" t="s">
        <v>37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6" x14ac:dyDescent="0.25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38</v>
      </c>
      <c r="H22" s="4" t="s">
        <v>39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6" x14ac:dyDescent="0.25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0</v>
      </c>
      <c r="G23" s="4" t="s">
        <v>40</v>
      </c>
      <c r="H23" s="4" t="s">
        <v>41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6" x14ac:dyDescent="0.25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0</v>
      </c>
      <c r="G24" s="4" t="s">
        <v>42</v>
      </c>
      <c r="H24" s="4" t="s">
        <v>43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6" x14ac:dyDescent="0.25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44</v>
      </c>
      <c r="H25" s="4" t="s">
        <v>45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6" x14ac:dyDescent="0.25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0</v>
      </c>
      <c r="G26" s="4" t="s">
        <v>46</v>
      </c>
      <c r="H26" s="4" t="s">
        <v>47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6" x14ac:dyDescent="0.25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48</v>
      </c>
      <c r="H27" s="4" t="s">
        <v>49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6" x14ac:dyDescent="0.25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50</v>
      </c>
      <c r="H28" s="4" t="s">
        <v>51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6" x14ac:dyDescent="0.25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52</v>
      </c>
      <c r="H29" s="4" t="s">
        <v>53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6" x14ac:dyDescent="0.25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3167502.72</v>
      </c>
      <c r="G30" s="4" t="s">
        <v>54</v>
      </c>
      <c r="H30" s="4" t="s">
        <v>55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6" x14ac:dyDescent="0.25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56</v>
      </c>
      <c r="H31" s="4" t="s">
        <v>57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6" x14ac:dyDescent="0.25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1621252.25</v>
      </c>
      <c r="G32" s="4" t="s">
        <v>58</v>
      </c>
      <c r="H32" s="4" t="s">
        <v>59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5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3011716.26</v>
      </c>
      <c r="G33" s="4" t="s">
        <v>60</v>
      </c>
      <c r="H33" s="4" t="s">
        <v>61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5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62</v>
      </c>
      <c r="H34" s="4" t="s">
        <v>63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5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64</v>
      </c>
      <c r="H35" s="4" t="s">
        <v>65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5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66</v>
      </c>
      <c r="H36" s="4" t="s">
        <v>67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5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10339544.439999999</v>
      </c>
      <c r="G37" s="4" t="s">
        <v>68</v>
      </c>
      <c r="H37" s="4" t="s">
        <v>69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5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70</v>
      </c>
      <c r="H38" s="4" t="s">
        <v>71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5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72</v>
      </c>
      <c r="H39" s="4" t="s">
        <v>73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5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7368.8928999999998</v>
      </c>
      <c r="G40" s="4" t="s">
        <v>74</v>
      </c>
      <c r="H40" s="4" t="s">
        <v>75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5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76</v>
      </c>
      <c r="H41" s="4" t="s">
        <v>77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5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78</v>
      </c>
      <c r="H42" s="4" t="s">
        <v>79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5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80</v>
      </c>
      <c r="H43" s="4" t="s">
        <v>81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5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2108201.39</v>
      </c>
      <c r="G44" s="4" t="s">
        <v>82</v>
      </c>
      <c r="H44" s="4" t="s">
        <v>83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5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301171.64</v>
      </c>
      <c r="G45" s="4" t="s">
        <v>84</v>
      </c>
      <c r="H45" s="4" t="s">
        <v>85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5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10339544.439999999</v>
      </c>
      <c r="G46" s="4" t="s">
        <v>86</v>
      </c>
      <c r="H46" s="4" t="s">
        <v>87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5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2067908.89</v>
      </c>
      <c r="G47" s="4" t="s">
        <v>108</v>
      </c>
      <c r="H47" s="4" t="s">
        <v>106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5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12407453.33</v>
      </c>
      <c r="G48" s="4" t="s">
        <v>109</v>
      </c>
      <c r="H48" s="4" t="s">
        <v>110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15" x14ac:dyDescent="0.25">
      <c r="A50">
        <v>-1</v>
      </c>
    </row>
    <row r="53" spans="1:15" x14ac:dyDescent="0.25">
      <c r="A53" s="3">
        <v>75</v>
      </c>
      <c r="B53" s="3" t="s">
        <v>111</v>
      </c>
      <c r="C53" s="3">
        <v>2025</v>
      </c>
      <c r="D53" s="3">
        <v>0</v>
      </c>
      <c r="E53" s="3">
        <v>7</v>
      </c>
      <c r="F53" s="3"/>
      <c r="G53" s="3">
        <v>0</v>
      </c>
      <c r="H53" s="3">
        <v>1</v>
      </c>
      <c r="I53" s="3">
        <v>0</v>
      </c>
      <c r="J53" s="3">
        <v>1</v>
      </c>
      <c r="K53" s="3">
        <v>78</v>
      </c>
      <c r="L53" s="3">
        <v>30</v>
      </c>
      <c r="M53" s="3">
        <v>0</v>
      </c>
      <c r="N53" s="3">
        <v>75447910</v>
      </c>
      <c r="O53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O10"/>
  <sheetViews>
    <sheetView workbookViewId="0"/>
  </sheetViews>
  <sheetFormatPr defaultColWidth="9.1796875" defaultRowHeight="12.9" x14ac:dyDescent="0.25"/>
  <cols>
    <col min="1" max="256" width="9.1796875" customWidth="1"/>
  </cols>
  <sheetData>
    <row r="1" spans="1:119" x14ac:dyDescent="0.25">
      <c r="A1">
        <f>ROW(Source!A28)</f>
        <v>28</v>
      </c>
      <c r="B1">
        <v>75447910</v>
      </c>
      <c r="C1">
        <v>75448095</v>
      </c>
      <c r="D1">
        <v>75566102</v>
      </c>
      <c r="E1">
        <v>15297896</v>
      </c>
      <c r="F1">
        <v>1</v>
      </c>
      <c r="G1">
        <v>15297896</v>
      </c>
      <c r="H1">
        <v>1</v>
      </c>
      <c r="I1" t="s">
        <v>113</v>
      </c>
      <c r="J1" t="s">
        <v>3</v>
      </c>
      <c r="K1" t="s">
        <v>114</v>
      </c>
      <c r="L1">
        <v>1191</v>
      </c>
      <c r="N1">
        <v>1013</v>
      </c>
      <c r="O1" t="s">
        <v>115</v>
      </c>
      <c r="P1" t="s">
        <v>115</v>
      </c>
      <c r="Q1">
        <v>1</v>
      </c>
      <c r="W1">
        <v>0</v>
      </c>
      <c r="X1">
        <v>476480486</v>
      </c>
      <c r="Y1">
        <f t="shared" ref="Y1:Y8" si="0">(AT1*5)</f>
        <v>13.899999999999999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2.78</v>
      </c>
      <c r="AU1" t="s">
        <v>17</v>
      </c>
      <c r="AV1">
        <v>1</v>
      </c>
      <c r="AW1">
        <v>2</v>
      </c>
      <c r="AX1">
        <v>75887085</v>
      </c>
      <c r="AY1">
        <v>1</v>
      </c>
      <c r="AZ1">
        <v>2048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7877.8249999999998</v>
      </c>
      <c r="CW1">
        <v>0</v>
      </c>
      <c r="CX1">
        <f>ROUND(Y1*Source!I28,9)</f>
        <v>7877.8249999999998</v>
      </c>
      <c r="CY1">
        <f>AD1</f>
        <v>0</v>
      </c>
      <c r="CZ1">
        <f>AH1</f>
        <v>0</v>
      </c>
      <c r="DA1">
        <f>AL1</f>
        <v>1</v>
      </c>
      <c r="DB1">
        <f t="shared" ref="DB1:DB8" si="1">ROUND((ROUND(AT1*CZ1,2)*5),6)</f>
        <v>0</v>
      </c>
      <c r="DC1">
        <f t="shared" ref="DC1:DC8" si="2">ROUND((ROUND(AT1*AG1,2)*5),6)</f>
        <v>0</v>
      </c>
      <c r="DD1" t="s">
        <v>3</v>
      </c>
      <c r="DE1" t="s">
        <v>3</v>
      </c>
      <c r="DF1">
        <f t="shared" ref="DF1:DF10" si="3">ROUND(ROUND(AE1,2)*CX1,2)</f>
        <v>0</v>
      </c>
      <c r="DG1">
        <f t="shared" ref="DG1:DG10" si="4">ROUND(ROUND(AF1,2)*CX1,2)</f>
        <v>0</v>
      </c>
      <c r="DH1">
        <f t="shared" ref="DH1:DH10" si="5">ROUND(ROUND(AG1,2)*CX1,2)</f>
        <v>0</v>
      </c>
      <c r="DI1">
        <f t="shared" ref="DI1:DI10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5">
      <c r="A2">
        <f>ROW(Source!A29)</f>
        <v>29</v>
      </c>
      <c r="B2">
        <v>75447910</v>
      </c>
      <c r="C2">
        <v>75448097</v>
      </c>
      <c r="D2">
        <v>75566102</v>
      </c>
      <c r="E2">
        <v>15297896</v>
      </c>
      <c r="F2">
        <v>1</v>
      </c>
      <c r="G2">
        <v>15297896</v>
      </c>
      <c r="H2">
        <v>1</v>
      </c>
      <c r="I2" t="s">
        <v>113</v>
      </c>
      <c r="J2" t="s">
        <v>3</v>
      </c>
      <c r="K2" t="s">
        <v>114</v>
      </c>
      <c r="L2">
        <v>1191</v>
      </c>
      <c r="N2">
        <v>1013</v>
      </c>
      <c r="O2" t="s">
        <v>115</v>
      </c>
      <c r="P2" t="s">
        <v>115</v>
      </c>
      <c r="Q2">
        <v>1</v>
      </c>
      <c r="W2">
        <v>0</v>
      </c>
      <c r="X2">
        <v>476480486</v>
      </c>
      <c r="Y2">
        <f t="shared" si="0"/>
        <v>36.85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7.37</v>
      </c>
      <c r="AU2" t="s">
        <v>17</v>
      </c>
      <c r="AV2">
        <v>1</v>
      </c>
      <c r="AW2">
        <v>2</v>
      </c>
      <c r="AX2">
        <v>75887086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ROUND(AT2*Source!I29*AH2*AL2,2)</f>
        <v>0</v>
      </c>
      <c r="CV2">
        <f>ROUND(Y2*Source!I29,9)</f>
        <v>26133.282999999999</v>
      </c>
      <c r="CW2">
        <v>0</v>
      </c>
      <c r="CX2">
        <f>ROUND(Y2*Source!I29,9)</f>
        <v>26133.282999999999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 t="shared" si="3"/>
        <v>0</v>
      </c>
      <c r="DG2">
        <f t="shared" si="4"/>
        <v>0</v>
      </c>
      <c r="DH2">
        <f t="shared" si="5"/>
        <v>0</v>
      </c>
      <c r="DI2">
        <f t="shared" si="6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5">
      <c r="A3">
        <f>ROW(Source!A29)</f>
        <v>29</v>
      </c>
      <c r="B3">
        <v>75447910</v>
      </c>
      <c r="C3">
        <v>75448097</v>
      </c>
      <c r="D3">
        <v>75567795</v>
      </c>
      <c r="E3">
        <v>1</v>
      </c>
      <c r="F3">
        <v>1</v>
      </c>
      <c r="G3">
        <v>15297896</v>
      </c>
      <c r="H3">
        <v>2</v>
      </c>
      <c r="I3" t="s">
        <v>116</v>
      </c>
      <c r="J3" t="s">
        <v>117</v>
      </c>
      <c r="K3" t="s">
        <v>118</v>
      </c>
      <c r="L3">
        <v>1368</v>
      </c>
      <c r="N3">
        <v>1011</v>
      </c>
      <c r="O3" t="s">
        <v>119</v>
      </c>
      <c r="P3" t="s">
        <v>119</v>
      </c>
      <c r="Q3">
        <v>1</v>
      </c>
      <c r="W3">
        <v>0</v>
      </c>
      <c r="X3">
        <v>1937024551</v>
      </c>
      <c r="Y3">
        <f t="shared" si="0"/>
        <v>0.65</v>
      </c>
      <c r="AA3">
        <v>0</v>
      </c>
      <c r="AB3">
        <v>1504.15</v>
      </c>
      <c r="AC3">
        <v>818.38</v>
      </c>
      <c r="AD3">
        <v>0</v>
      </c>
      <c r="AE3">
        <v>0</v>
      </c>
      <c r="AF3">
        <v>1504.15</v>
      </c>
      <c r="AG3">
        <v>818.38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0.13</v>
      </c>
      <c r="AU3" t="s">
        <v>17</v>
      </c>
      <c r="AV3">
        <v>0</v>
      </c>
      <c r="AW3">
        <v>2</v>
      </c>
      <c r="AX3">
        <v>75887087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ROUND(Y3*Source!I29*DO3,9)</f>
        <v>0</v>
      </c>
      <c r="CX3">
        <f>ROUND(Y3*Source!I29,9)</f>
        <v>460.96699999999998</v>
      </c>
      <c r="CY3">
        <f>AB3</f>
        <v>1504.15</v>
      </c>
      <c r="CZ3">
        <f>AF3</f>
        <v>1504.15</v>
      </c>
      <c r="DA3">
        <f>AJ3</f>
        <v>1</v>
      </c>
      <c r="DB3">
        <f t="shared" si="1"/>
        <v>977.7</v>
      </c>
      <c r="DC3">
        <f t="shared" si="2"/>
        <v>531.95000000000005</v>
      </c>
      <c r="DD3" t="s">
        <v>3</v>
      </c>
      <c r="DE3" t="s">
        <v>3</v>
      </c>
      <c r="DF3">
        <f t="shared" si="3"/>
        <v>0</v>
      </c>
      <c r="DG3">
        <f t="shared" si="4"/>
        <v>693363.51</v>
      </c>
      <c r="DH3">
        <f t="shared" si="5"/>
        <v>377246.17</v>
      </c>
      <c r="DI3">
        <f t="shared" si="6"/>
        <v>0</v>
      </c>
      <c r="DJ3">
        <f>DG3</f>
        <v>693363.51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5">
      <c r="A4">
        <f>ROW(Source!A29)</f>
        <v>29</v>
      </c>
      <c r="B4">
        <v>75447910</v>
      </c>
      <c r="C4">
        <v>75448097</v>
      </c>
      <c r="D4">
        <v>75567189</v>
      </c>
      <c r="E4">
        <v>1</v>
      </c>
      <c r="F4">
        <v>1</v>
      </c>
      <c r="G4">
        <v>15297896</v>
      </c>
      <c r="H4">
        <v>2</v>
      </c>
      <c r="I4" t="s">
        <v>120</v>
      </c>
      <c r="J4" t="s">
        <v>121</v>
      </c>
      <c r="K4" t="s">
        <v>122</v>
      </c>
      <c r="L4">
        <v>1368</v>
      </c>
      <c r="N4">
        <v>1011</v>
      </c>
      <c r="O4" t="s">
        <v>119</v>
      </c>
      <c r="P4" t="s">
        <v>119</v>
      </c>
      <c r="Q4">
        <v>1</v>
      </c>
      <c r="W4">
        <v>0</v>
      </c>
      <c r="X4">
        <v>-1426920821</v>
      </c>
      <c r="Y4">
        <f t="shared" si="0"/>
        <v>7.1999999999999993</v>
      </c>
      <c r="AA4">
        <v>0</v>
      </c>
      <c r="AB4">
        <v>1885.26</v>
      </c>
      <c r="AC4">
        <v>1027.51</v>
      </c>
      <c r="AD4">
        <v>0</v>
      </c>
      <c r="AE4">
        <v>0</v>
      </c>
      <c r="AF4">
        <v>1885.26</v>
      </c>
      <c r="AG4">
        <v>1027.51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1.44</v>
      </c>
      <c r="AU4" t="s">
        <v>17</v>
      </c>
      <c r="AV4">
        <v>0</v>
      </c>
      <c r="AW4">
        <v>2</v>
      </c>
      <c r="AX4">
        <v>75887088</v>
      </c>
      <c r="AY4">
        <v>1</v>
      </c>
      <c r="AZ4">
        <v>2048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ROUND(Y4*Source!I29*DO4,9)</f>
        <v>0</v>
      </c>
      <c r="CX4">
        <f>ROUND(Y4*Source!I29,9)</f>
        <v>5106.0959999999995</v>
      </c>
      <c r="CY4">
        <f>AB4</f>
        <v>1885.26</v>
      </c>
      <c r="CZ4">
        <f>AF4</f>
        <v>1885.26</v>
      </c>
      <c r="DA4">
        <f>AJ4</f>
        <v>1</v>
      </c>
      <c r="DB4">
        <f t="shared" si="1"/>
        <v>13573.85</v>
      </c>
      <c r="DC4">
        <f t="shared" si="2"/>
        <v>7398.05</v>
      </c>
      <c r="DD4" t="s">
        <v>3</v>
      </c>
      <c r="DE4" t="s">
        <v>3</v>
      </c>
      <c r="DF4">
        <f t="shared" si="3"/>
        <v>0</v>
      </c>
      <c r="DG4">
        <f t="shared" si="4"/>
        <v>9626318.5399999991</v>
      </c>
      <c r="DH4">
        <f t="shared" si="5"/>
        <v>5246564.7</v>
      </c>
      <c r="DI4">
        <f t="shared" si="6"/>
        <v>0</v>
      </c>
      <c r="DJ4">
        <f>DG4</f>
        <v>9626318.5399999991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5">
      <c r="A5">
        <f>ROW(Source!A30)</f>
        <v>30</v>
      </c>
      <c r="B5">
        <v>75447910</v>
      </c>
      <c r="C5">
        <v>75448101</v>
      </c>
      <c r="D5">
        <v>75566102</v>
      </c>
      <c r="E5">
        <v>15297896</v>
      </c>
      <c r="F5">
        <v>1</v>
      </c>
      <c r="G5">
        <v>15297896</v>
      </c>
      <c r="H5">
        <v>1</v>
      </c>
      <c r="I5" t="s">
        <v>113</v>
      </c>
      <c r="J5" t="s">
        <v>3</v>
      </c>
      <c r="K5" t="s">
        <v>114</v>
      </c>
      <c r="L5">
        <v>1191</v>
      </c>
      <c r="N5">
        <v>1013</v>
      </c>
      <c r="O5" t="s">
        <v>115</v>
      </c>
      <c r="P5" t="s">
        <v>115</v>
      </c>
      <c r="Q5">
        <v>1</v>
      </c>
      <c r="W5">
        <v>0</v>
      </c>
      <c r="X5">
        <v>476480486</v>
      </c>
      <c r="Y5">
        <f t="shared" si="0"/>
        <v>3.25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0.65</v>
      </c>
      <c r="AU5" t="s">
        <v>17</v>
      </c>
      <c r="AV5">
        <v>1</v>
      </c>
      <c r="AW5">
        <v>2</v>
      </c>
      <c r="AX5">
        <v>75887089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ROUND(AT5*Source!I30*AH5*AL5,2)</f>
        <v>0</v>
      </c>
      <c r="CV5">
        <f>ROUND(Y5*Source!I30,9)</f>
        <v>829.35450000000003</v>
      </c>
      <c r="CW5">
        <v>0</v>
      </c>
      <c r="CX5">
        <f>ROUND(Y5*Source!I30,9)</f>
        <v>829.35450000000003</v>
      </c>
      <c r="CY5">
        <f>AD5</f>
        <v>0</v>
      </c>
      <c r="CZ5">
        <f>AH5</f>
        <v>0</v>
      </c>
      <c r="DA5">
        <f>AL5</f>
        <v>1</v>
      </c>
      <c r="DB5">
        <f t="shared" si="1"/>
        <v>0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 t="shared" si="4"/>
        <v>0</v>
      </c>
      <c r="DH5">
        <f t="shared" si="5"/>
        <v>0</v>
      </c>
      <c r="DI5">
        <f t="shared" si="6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5">
      <c r="A6">
        <f>ROW(Source!A31)</f>
        <v>31</v>
      </c>
      <c r="B6">
        <v>75447910</v>
      </c>
      <c r="C6">
        <v>75448103</v>
      </c>
      <c r="D6">
        <v>75567671</v>
      </c>
      <c r="E6">
        <v>1</v>
      </c>
      <c r="F6">
        <v>1</v>
      </c>
      <c r="G6">
        <v>15297896</v>
      </c>
      <c r="H6">
        <v>2</v>
      </c>
      <c r="I6" t="s">
        <v>123</v>
      </c>
      <c r="J6" t="s">
        <v>124</v>
      </c>
      <c r="K6" t="s">
        <v>125</v>
      </c>
      <c r="L6">
        <v>1368</v>
      </c>
      <c r="N6">
        <v>1011</v>
      </c>
      <c r="O6" t="s">
        <v>119</v>
      </c>
      <c r="P6" t="s">
        <v>119</v>
      </c>
      <c r="Q6">
        <v>1</v>
      </c>
      <c r="W6">
        <v>0</v>
      </c>
      <c r="X6">
        <v>1771397012</v>
      </c>
      <c r="Y6">
        <f t="shared" si="0"/>
        <v>2.5</v>
      </c>
      <c r="AA6">
        <v>0</v>
      </c>
      <c r="AB6">
        <v>2197.63</v>
      </c>
      <c r="AC6">
        <v>749.23</v>
      </c>
      <c r="AD6">
        <v>0</v>
      </c>
      <c r="AE6">
        <v>0</v>
      </c>
      <c r="AF6">
        <v>2197.63</v>
      </c>
      <c r="AG6">
        <v>749.23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0.5</v>
      </c>
      <c r="AU6" t="s">
        <v>17</v>
      </c>
      <c r="AV6">
        <v>0</v>
      </c>
      <c r="AW6">
        <v>2</v>
      </c>
      <c r="AX6">
        <v>75887090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f>ROUND(Y6*Source!I31*DO6,9)</f>
        <v>0</v>
      </c>
      <c r="CX6">
        <f>ROUND(Y6*Source!I31,9)</f>
        <v>255.18600000000001</v>
      </c>
      <c r="CY6">
        <f>AB6</f>
        <v>2197.63</v>
      </c>
      <c r="CZ6">
        <f>AF6</f>
        <v>2197.63</v>
      </c>
      <c r="DA6">
        <f>AJ6</f>
        <v>1</v>
      </c>
      <c r="DB6">
        <f t="shared" si="1"/>
        <v>5494.1</v>
      </c>
      <c r="DC6">
        <f t="shared" si="2"/>
        <v>1873.1</v>
      </c>
      <c r="DD6" t="s">
        <v>3</v>
      </c>
      <c r="DE6" t="s">
        <v>3</v>
      </c>
      <c r="DF6">
        <f t="shared" si="3"/>
        <v>0</v>
      </c>
      <c r="DG6">
        <f t="shared" si="4"/>
        <v>560804.41</v>
      </c>
      <c r="DH6">
        <f t="shared" si="5"/>
        <v>191193.01</v>
      </c>
      <c r="DI6">
        <f t="shared" si="6"/>
        <v>0</v>
      </c>
      <c r="DJ6">
        <f>DG6</f>
        <v>560804.41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5">
      <c r="A7">
        <f>ROW(Source!A67)</f>
        <v>67</v>
      </c>
      <c r="B7">
        <v>75447910</v>
      </c>
      <c r="C7">
        <v>75448163</v>
      </c>
      <c r="D7">
        <v>75566102</v>
      </c>
      <c r="E7">
        <v>15297896</v>
      </c>
      <c r="F7">
        <v>1</v>
      </c>
      <c r="G7">
        <v>15297896</v>
      </c>
      <c r="H7">
        <v>1</v>
      </c>
      <c r="I7" t="s">
        <v>113</v>
      </c>
      <c r="J7" t="s">
        <v>3</v>
      </c>
      <c r="K7" t="s">
        <v>114</v>
      </c>
      <c r="L7">
        <v>1191</v>
      </c>
      <c r="N7">
        <v>1013</v>
      </c>
      <c r="O7" t="s">
        <v>115</v>
      </c>
      <c r="P7" t="s">
        <v>115</v>
      </c>
      <c r="Q7">
        <v>1</v>
      </c>
      <c r="W7">
        <v>0</v>
      </c>
      <c r="X7">
        <v>476480486</v>
      </c>
      <c r="Y7">
        <f t="shared" si="0"/>
        <v>5.85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1.17</v>
      </c>
      <c r="AU7" t="s">
        <v>17</v>
      </c>
      <c r="AV7">
        <v>1</v>
      </c>
      <c r="AW7">
        <v>2</v>
      </c>
      <c r="AX7">
        <v>75887091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ROUND(AT7*Source!I67*AH7*AL7,2)</f>
        <v>0</v>
      </c>
      <c r="CV7">
        <f>ROUND(Y7*Source!I67,9)</f>
        <v>180.18</v>
      </c>
      <c r="CW7">
        <v>0</v>
      </c>
      <c r="CX7">
        <f>ROUND(Y7*Source!I67,9)</f>
        <v>180.18</v>
      </c>
      <c r="CY7">
        <f>AD7</f>
        <v>0</v>
      </c>
      <c r="CZ7">
        <f>AH7</f>
        <v>0</v>
      </c>
      <c r="DA7">
        <f>AL7</f>
        <v>1</v>
      </c>
      <c r="DB7">
        <f t="shared" si="1"/>
        <v>0</v>
      </c>
      <c r="DC7">
        <f t="shared" si="2"/>
        <v>0</v>
      </c>
      <c r="DD7" t="s">
        <v>3</v>
      </c>
      <c r="DE7" t="s">
        <v>3</v>
      </c>
      <c r="DF7">
        <f t="shared" si="3"/>
        <v>0</v>
      </c>
      <c r="DG7">
        <f t="shared" si="4"/>
        <v>0</v>
      </c>
      <c r="DH7">
        <f t="shared" si="5"/>
        <v>0</v>
      </c>
      <c r="DI7">
        <f t="shared" si="6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5">
      <c r="A8">
        <f>ROW(Source!A103)</f>
        <v>103</v>
      </c>
      <c r="B8">
        <v>75447910</v>
      </c>
      <c r="C8">
        <v>75448223</v>
      </c>
      <c r="D8">
        <v>75566102</v>
      </c>
      <c r="E8">
        <v>15297896</v>
      </c>
      <c r="F8">
        <v>1</v>
      </c>
      <c r="G8">
        <v>15297896</v>
      </c>
      <c r="H8">
        <v>1</v>
      </c>
      <c r="I8" t="s">
        <v>113</v>
      </c>
      <c r="J8" t="s">
        <v>3</v>
      </c>
      <c r="K8" t="s">
        <v>114</v>
      </c>
      <c r="L8">
        <v>1191</v>
      </c>
      <c r="N8">
        <v>1013</v>
      </c>
      <c r="O8" t="s">
        <v>115</v>
      </c>
      <c r="P8" t="s">
        <v>115</v>
      </c>
      <c r="Q8">
        <v>1</v>
      </c>
      <c r="W8">
        <v>0</v>
      </c>
      <c r="X8">
        <v>476480486</v>
      </c>
      <c r="Y8">
        <f t="shared" si="0"/>
        <v>21.6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4.32</v>
      </c>
      <c r="AU8" t="s">
        <v>17</v>
      </c>
      <c r="AV8">
        <v>1</v>
      </c>
      <c r="AW8">
        <v>2</v>
      </c>
      <c r="AX8">
        <v>75887092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ROUND(AT8*Source!I103*AH8*AL8,2)</f>
        <v>0</v>
      </c>
      <c r="CV8">
        <f>ROUND(Y8*Source!I103,9)</f>
        <v>798.33600000000001</v>
      </c>
      <c r="CW8">
        <v>0</v>
      </c>
      <c r="CX8">
        <f>ROUND(Y8*Source!I103,9)</f>
        <v>798.33600000000001</v>
      </c>
      <c r="CY8">
        <f>AD8</f>
        <v>0</v>
      </c>
      <c r="CZ8">
        <f>AH8</f>
        <v>0</v>
      </c>
      <c r="DA8">
        <f>AL8</f>
        <v>1</v>
      </c>
      <c r="DB8">
        <f t="shared" si="1"/>
        <v>0</v>
      </c>
      <c r="DC8">
        <f t="shared" si="2"/>
        <v>0</v>
      </c>
      <c r="DD8" t="s">
        <v>3</v>
      </c>
      <c r="DE8" t="s">
        <v>3</v>
      </c>
      <c r="DF8">
        <f t="shared" si="3"/>
        <v>0</v>
      </c>
      <c r="DG8">
        <f t="shared" si="4"/>
        <v>0</v>
      </c>
      <c r="DH8">
        <f t="shared" si="5"/>
        <v>0</v>
      </c>
      <c r="DI8">
        <f t="shared" si="6"/>
        <v>0</v>
      </c>
      <c r="DJ8">
        <f>DI8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5">
      <c r="A9">
        <f>ROW(Source!A104)</f>
        <v>104</v>
      </c>
      <c r="B9">
        <v>75447910</v>
      </c>
      <c r="C9">
        <v>75888612</v>
      </c>
      <c r="D9">
        <v>75566102</v>
      </c>
      <c r="E9">
        <v>15297896</v>
      </c>
      <c r="F9">
        <v>1</v>
      </c>
      <c r="G9">
        <v>15297896</v>
      </c>
      <c r="H9">
        <v>1</v>
      </c>
      <c r="I9" t="s">
        <v>113</v>
      </c>
      <c r="J9" t="s">
        <v>3</v>
      </c>
      <c r="K9" t="s">
        <v>114</v>
      </c>
      <c r="L9">
        <v>1191</v>
      </c>
      <c r="N9">
        <v>1013</v>
      </c>
      <c r="O9" t="s">
        <v>115</v>
      </c>
      <c r="P9" t="s">
        <v>115</v>
      </c>
      <c r="Q9">
        <v>1</v>
      </c>
      <c r="W9">
        <v>0</v>
      </c>
      <c r="X9">
        <v>476480486</v>
      </c>
      <c r="Y9">
        <f>AT9</f>
        <v>0.37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0.37</v>
      </c>
      <c r="AU9" t="s">
        <v>3</v>
      </c>
      <c r="AV9">
        <v>1</v>
      </c>
      <c r="AW9">
        <v>2</v>
      </c>
      <c r="AX9">
        <v>75888617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ROUND(AT9*Source!I104*AH9*AL9,2)</f>
        <v>0</v>
      </c>
      <c r="CV9">
        <f>ROUND(Y9*Source!I104,9)</f>
        <v>5871.53</v>
      </c>
      <c r="CW9">
        <v>0</v>
      </c>
      <c r="CX9">
        <f>ROUND(Y9*Source!I104,9)</f>
        <v>5871.53</v>
      </c>
      <c r="CY9">
        <f>AD9</f>
        <v>0</v>
      </c>
      <c r="CZ9">
        <f>AH9</f>
        <v>0</v>
      </c>
      <c r="DA9">
        <f>AL9</f>
        <v>1</v>
      </c>
      <c r="DB9">
        <f>ROUND(ROUND(AT9*CZ9,2),6)</f>
        <v>0</v>
      </c>
      <c r="DC9">
        <f>ROUND(ROUND(AT9*AG9,2),6)</f>
        <v>0</v>
      </c>
      <c r="DD9" t="s">
        <v>3</v>
      </c>
      <c r="DE9" t="s">
        <v>3</v>
      </c>
      <c r="DF9">
        <f t="shared" si="3"/>
        <v>0</v>
      </c>
      <c r="DG9">
        <f t="shared" si="4"/>
        <v>0</v>
      </c>
      <c r="DH9">
        <f t="shared" si="5"/>
        <v>0</v>
      </c>
      <c r="DI9">
        <f t="shared" si="6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5">
      <c r="A10">
        <f>ROW(Source!A104)</f>
        <v>104</v>
      </c>
      <c r="B10">
        <v>75447910</v>
      </c>
      <c r="C10">
        <v>75888612</v>
      </c>
      <c r="D10">
        <v>75567238</v>
      </c>
      <c r="E10">
        <v>1</v>
      </c>
      <c r="F10">
        <v>1</v>
      </c>
      <c r="G10">
        <v>15297896</v>
      </c>
      <c r="H10">
        <v>2</v>
      </c>
      <c r="I10" t="s">
        <v>126</v>
      </c>
      <c r="J10" t="s">
        <v>127</v>
      </c>
      <c r="K10" t="s">
        <v>128</v>
      </c>
      <c r="L10">
        <v>1368</v>
      </c>
      <c r="N10">
        <v>1011</v>
      </c>
      <c r="O10" t="s">
        <v>119</v>
      </c>
      <c r="P10" t="s">
        <v>119</v>
      </c>
      <c r="Q10">
        <v>1</v>
      </c>
      <c r="W10">
        <v>0</v>
      </c>
      <c r="X10">
        <v>1566343864</v>
      </c>
      <c r="Y10">
        <f>AT10</f>
        <v>0.34</v>
      </c>
      <c r="AA10">
        <v>0</v>
      </c>
      <c r="AB10">
        <v>1725</v>
      </c>
      <c r="AC10">
        <v>861.72</v>
      </c>
      <c r="AD10">
        <v>0</v>
      </c>
      <c r="AE10">
        <v>0</v>
      </c>
      <c r="AF10">
        <v>1725</v>
      </c>
      <c r="AG10">
        <v>861.72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0.34</v>
      </c>
      <c r="AU10" t="s">
        <v>3</v>
      </c>
      <c r="AV10">
        <v>0</v>
      </c>
      <c r="AW10">
        <v>2</v>
      </c>
      <c r="AX10">
        <v>75888618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f>ROUND(Y10*Source!I104*DO10,9)</f>
        <v>0</v>
      </c>
      <c r="CX10">
        <f>ROUND(Y10*Source!I104,9)</f>
        <v>5395.46</v>
      </c>
      <c r="CY10">
        <f>AB10</f>
        <v>1725</v>
      </c>
      <c r="CZ10">
        <f>AF10</f>
        <v>1725</v>
      </c>
      <c r="DA10">
        <f>AJ10</f>
        <v>1</v>
      </c>
      <c r="DB10">
        <f>ROUND(ROUND(AT10*CZ10,2),6)</f>
        <v>586.5</v>
      </c>
      <c r="DC10">
        <f>ROUND(ROUND(AT10*AG10,2),6)</f>
        <v>292.98</v>
      </c>
      <c r="DD10" t="s">
        <v>3</v>
      </c>
      <c r="DE10" t="s">
        <v>3</v>
      </c>
      <c r="DF10">
        <f t="shared" si="3"/>
        <v>0</v>
      </c>
      <c r="DG10">
        <f t="shared" si="4"/>
        <v>9307168.5</v>
      </c>
      <c r="DH10">
        <f t="shared" si="5"/>
        <v>4649375.79</v>
      </c>
      <c r="DI10">
        <f t="shared" si="6"/>
        <v>0</v>
      </c>
      <c r="DJ10">
        <f>DG10</f>
        <v>9307168.5</v>
      </c>
      <c r="DK10">
        <v>0</v>
      </c>
      <c r="DL10" t="s">
        <v>3</v>
      </c>
      <c r="DM10">
        <v>0</v>
      </c>
      <c r="DN10" t="s">
        <v>3</v>
      </c>
      <c r="DO1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10"/>
  <sheetViews>
    <sheetView workbookViewId="0"/>
  </sheetViews>
  <sheetFormatPr defaultColWidth="9.1796875" defaultRowHeight="12.9" x14ac:dyDescent="0.25"/>
  <cols>
    <col min="1" max="256" width="9.1796875" customWidth="1"/>
  </cols>
  <sheetData>
    <row r="1" spans="1:44" x14ac:dyDescent="0.25">
      <c r="A1">
        <f>ROW(Source!A28)</f>
        <v>28</v>
      </c>
      <c r="B1">
        <v>75887085</v>
      </c>
      <c r="C1">
        <v>75448095</v>
      </c>
      <c r="D1">
        <v>75566102</v>
      </c>
      <c r="E1">
        <v>15297896</v>
      </c>
      <c r="F1">
        <v>1</v>
      </c>
      <c r="G1">
        <v>15297896</v>
      </c>
      <c r="H1">
        <v>1</v>
      </c>
      <c r="I1" t="s">
        <v>113</v>
      </c>
      <c r="J1" t="s">
        <v>3</v>
      </c>
      <c r="K1" t="s">
        <v>114</v>
      </c>
      <c r="L1">
        <v>1191</v>
      </c>
      <c r="N1">
        <v>1013</v>
      </c>
      <c r="O1" t="s">
        <v>115</v>
      </c>
      <c r="P1" t="s">
        <v>115</v>
      </c>
      <c r="Q1">
        <v>1</v>
      </c>
      <c r="X1">
        <v>2.78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17</v>
      </c>
      <c r="AG1">
        <v>13.899999999999999</v>
      </c>
      <c r="AH1">
        <v>2</v>
      </c>
      <c r="AI1">
        <v>75887085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ROW(Source!A29)</f>
        <v>29</v>
      </c>
      <c r="B2">
        <v>75887086</v>
      </c>
      <c r="C2">
        <v>75448097</v>
      </c>
      <c r="D2">
        <v>75566102</v>
      </c>
      <c r="E2">
        <v>15297896</v>
      </c>
      <c r="F2">
        <v>1</v>
      </c>
      <c r="G2">
        <v>15297896</v>
      </c>
      <c r="H2">
        <v>1</v>
      </c>
      <c r="I2" t="s">
        <v>113</v>
      </c>
      <c r="J2" t="s">
        <v>3</v>
      </c>
      <c r="K2" t="s">
        <v>114</v>
      </c>
      <c r="L2">
        <v>1191</v>
      </c>
      <c r="N2">
        <v>1013</v>
      </c>
      <c r="O2" t="s">
        <v>115</v>
      </c>
      <c r="P2" t="s">
        <v>115</v>
      </c>
      <c r="Q2">
        <v>1</v>
      </c>
      <c r="X2">
        <v>7.37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17</v>
      </c>
      <c r="AG2">
        <v>36.85</v>
      </c>
      <c r="AH2">
        <v>2</v>
      </c>
      <c r="AI2">
        <v>75887086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ROW(Source!A29)</f>
        <v>29</v>
      </c>
      <c r="B3">
        <v>75887087</v>
      </c>
      <c r="C3">
        <v>75448097</v>
      </c>
      <c r="D3">
        <v>75567795</v>
      </c>
      <c r="E3">
        <v>1</v>
      </c>
      <c r="F3">
        <v>1</v>
      </c>
      <c r="G3">
        <v>15297896</v>
      </c>
      <c r="H3">
        <v>2</v>
      </c>
      <c r="I3" t="s">
        <v>116</v>
      </c>
      <c r="J3" t="s">
        <v>117</v>
      </c>
      <c r="K3" t="s">
        <v>118</v>
      </c>
      <c r="L3">
        <v>1368</v>
      </c>
      <c r="N3">
        <v>1011</v>
      </c>
      <c r="O3" t="s">
        <v>119</v>
      </c>
      <c r="P3" t="s">
        <v>119</v>
      </c>
      <c r="Q3">
        <v>1</v>
      </c>
      <c r="X3">
        <v>0.13</v>
      </c>
      <c r="Y3">
        <v>0</v>
      </c>
      <c r="Z3">
        <v>1504.15</v>
      </c>
      <c r="AA3">
        <v>818.38</v>
      </c>
      <c r="AB3">
        <v>0</v>
      </c>
      <c r="AC3">
        <v>0</v>
      </c>
      <c r="AD3">
        <v>1</v>
      </c>
      <c r="AE3">
        <v>0</v>
      </c>
      <c r="AF3" t="s">
        <v>17</v>
      </c>
      <c r="AG3">
        <v>0.65</v>
      </c>
      <c r="AH3">
        <v>2</v>
      </c>
      <c r="AI3">
        <v>75887087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ROW(Source!A29)</f>
        <v>29</v>
      </c>
      <c r="B4">
        <v>75887088</v>
      </c>
      <c r="C4">
        <v>75448097</v>
      </c>
      <c r="D4">
        <v>75567189</v>
      </c>
      <c r="E4">
        <v>1</v>
      </c>
      <c r="F4">
        <v>1</v>
      </c>
      <c r="G4">
        <v>15297896</v>
      </c>
      <c r="H4">
        <v>2</v>
      </c>
      <c r="I4" t="s">
        <v>120</v>
      </c>
      <c r="J4" t="s">
        <v>121</v>
      </c>
      <c r="K4" t="s">
        <v>122</v>
      </c>
      <c r="L4">
        <v>1368</v>
      </c>
      <c r="N4">
        <v>1011</v>
      </c>
      <c r="O4" t="s">
        <v>119</v>
      </c>
      <c r="P4" t="s">
        <v>119</v>
      </c>
      <c r="Q4">
        <v>1</v>
      </c>
      <c r="X4">
        <v>1.44</v>
      </c>
      <c r="Y4">
        <v>0</v>
      </c>
      <c r="Z4">
        <v>1885.26</v>
      </c>
      <c r="AA4">
        <v>1027.51</v>
      </c>
      <c r="AB4">
        <v>0</v>
      </c>
      <c r="AC4">
        <v>0</v>
      </c>
      <c r="AD4">
        <v>1</v>
      </c>
      <c r="AE4">
        <v>0</v>
      </c>
      <c r="AF4" t="s">
        <v>17</v>
      </c>
      <c r="AG4">
        <v>7.1999999999999993</v>
      </c>
      <c r="AH4">
        <v>2</v>
      </c>
      <c r="AI4">
        <v>75887088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ROW(Source!A30)</f>
        <v>30</v>
      </c>
      <c r="B5">
        <v>75887089</v>
      </c>
      <c r="C5">
        <v>75448101</v>
      </c>
      <c r="D5">
        <v>75566102</v>
      </c>
      <c r="E5">
        <v>15297896</v>
      </c>
      <c r="F5">
        <v>1</v>
      </c>
      <c r="G5">
        <v>15297896</v>
      </c>
      <c r="H5">
        <v>1</v>
      </c>
      <c r="I5" t="s">
        <v>113</v>
      </c>
      <c r="J5" t="s">
        <v>3</v>
      </c>
      <c r="K5" t="s">
        <v>114</v>
      </c>
      <c r="L5">
        <v>1191</v>
      </c>
      <c r="N5">
        <v>1013</v>
      </c>
      <c r="O5" t="s">
        <v>115</v>
      </c>
      <c r="P5" t="s">
        <v>115</v>
      </c>
      <c r="Q5">
        <v>1</v>
      </c>
      <c r="X5">
        <v>0.65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17</v>
      </c>
      <c r="AG5">
        <v>3.25</v>
      </c>
      <c r="AH5">
        <v>2</v>
      </c>
      <c r="AI5">
        <v>75887089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ROW(Source!A31)</f>
        <v>31</v>
      </c>
      <c r="B6">
        <v>75887090</v>
      </c>
      <c r="C6">
        <v>75448103</v>
      </c>
      <c r="D6">
        <v>75567671</v>
      </c>
      <c r="E6">
        <v>1</v>
      </c>
      <c r="F6">
        <v>1</v>
      </c>
      <c r="G6">
        <v>15297896</v>
      </c>
      <c r="H6">
        <v>2</v>
      </c>
      <c r="I6" t="s">
        <v>123</v>
      </c>
      <c r="J6" t="s">
        <v>124</v>
      </c>
      <c r="K6" t="s">
        <v>125</v>
      </c>
      <c r="L6">
        <v>1368</v>
      </c>
      <c r="N6">
        <v>1011</v>
      </c>
      <c r="O6" t="s">
        <v>119</v>
      </c>
      <c r="P6" t="s">
        <v>119</v>
      </c>
      <c r="Q6">
        <v>1</v>
      </c>
      <c r="X6">
        <v>0.5</v>
      </c>
      <c r="Y6">
        <v>0</v>
      </c>
      <c r="Z6">
        <v>2197.63</v>
      </c>
      <c r="AA6">
        <v>749.23</v>
      </c>
      <c r="AB6">
        <v>0</v>
      </c>
      <c r="AC6">
        <v>0</v>
      </c>
      <c r="AD6">
        <v>1</v>
      </c>
      <c r="AE6">
        <v>0</v>
      </c>
      <c r="AF6" t="s">
        <v>17</v>
      </c>
      <c r="AG6">
        <v>2.5</v>
      </c>
      <c r="AH6">
        <v>2</v>
      </c>
      <c r="AI6">
        <v>75887090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ROW(Source!A67)</f>
        <v>67</v>
      </c>
      <c r="B7">
        <v>75887091</v>
      </c>
      <c r="C7">
        <v>75448163</v>
      </c>
      <c r="D7">
        <v>75566102</v>
      </c>
      <c r="E7">
        <v>15297896</v>
      </c>
      <c r="F7">
        <v>1</v>
      </c>
      <c r="G7">
        <v>15297896</v>
      </c>
      <c r="H7">
        <v>1</v>
      </c>
      <c r="I7" t="s">
        <v>113</v>
      </c>
      <c r="J7" t="s">
        <v>3</v>
      </c>
      <c r="K7" t="s">
        <v>114</v>
      </c>
      <c r="L7">
        <v>1191</v>
      </c>
      <c r="N7">
        <v>1013</v>
      </c>
      <c r="O7" t="s">
        <v>115</v>
      </c>
      <c r="P7" t="s">
        <v>115</v>
      </c>
      <c r="Q7">
        <v>1</v>
      </c>
      <c r="X7">
        <v>1.17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17</v>
      </c>
      <c r="AG7">
        <v>5.85</v>
      </c>
      <c r="AH7">
        <v>2</v>
      </c>
      <c r="AI7">
        <v>75887091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ROW(Source!A103)</f>
        <v>103</v>
      </c>
      <c r="B8">
        <v>75887092</v>
      </c>
      <c r="C8">
        <v>75448223</v>
      </c>
      <c r="D8">
        <v>75566102</v>
      </c>
      <c r="E8">
        <v>15297896</v>
      </c>
      <c r="F8">
        <v>1</v>
      </c>
      <c r="G8">
        <v>15297896</v>
      </c>
      <c r="H8">
        <v>1</v>
      </c>
      <c r="I8" t="s">
        <v>113</v>
      </c>
      <c r="J8" t="s">
        <v>3</v>
      </c>
      <c r="K8" t="s">
        <v>114</v>
      </c>
      <c r="L8">
        <v>1191</v>
      </c>
      <c r="N8">
        <v>1013</v>
      </c>
      <c r="O8" t="s">
        <v>115</v>
      </c>
      <c r="P8" t="s">
        <v>115</v>
      </c>
      <c r="Q8">
        <v>1</v>
      </c>
      <c r="X8">
        <v>4.32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17</v>
      </c>
      <c r="AG8">
        <v>21.6</v>
      </c>
      <c r="AH8">
        <v>2</v>
      </c>
      <c r="AI8">
        <v>75887092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ROW(Source!A104)</f>
        <v>104</v>
      </c>
      <c r="B9">
        <v>75888617</v>
      </c>
      <c r="C9">
        <v>75888612</v>
      </c>
      <c r="D9">
        <v>75566102</v>
      </c>
      <c r="E9">
        <v>15297896</v>
      </c>
      <c r="F9">
        <v>1</v>
      </c>
      <c r="G9">
        <v>15297896</v>
      </c>
      <c r="H9">
        <v>1</v>
      </c>
      <c r="I9" t="s">
        <v>113</v>
      </c>
      <c r="J9" t="s">
        <v>3</v>
      </c>
      <c r="K9" t="s">
        <v>114</v>
      </c>
      <c r="L9">
        <v>1191</v>
      </c>
      <c r="N9">
        <v>1013</v>
      </c>
      <c r="O9" t="s">
        <v>115</v>
      </c>
      <c r="P9" t="s">
        <v>115</v>
      </c>
      <c r="Q9">
        <v>1</v>
      </c>
      <c r="X9">
        <v>0.37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3</v>
      </c>
      <c r="AG9">
        <v>0.37</v>
      </c>
      <c r="AH9">
        <v>2</v>
      </c>
      <c r="AI9">
        <v>75888617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ROW(Source!A104)</f>
        <v>104</v>
      </c>
      <c r="B10">
        <v>75888618</v>
      </c>
      <c r="C10">
        <v>75888612</v>
      </c>
      <c r="D10">
        <v>75567238</v>
      </c>
      <c r="E10">
        <v>1</v>
      </c>
      <c r="F10">
        <v>1</v>
      </c>
      <c r="G10">
        <v>15297896</v>
      </c>
      <c r="H10">
        <v>2</v>
      </c>
      <c r="I10" t="s">
        <v>126</v>
      </c>
      <c r="J10" t="s">
        <v>127</v>
      </c>
      <c r="K10" t="s">
        <v>128</v>
      </c>
      <c r="L10">
        <v>1368</v>
      </c>
      <c r="N10">
        <v>1011</v>
      </c>
      <c r="O10" t="s">
        <v>119</v>
      </c>
      <c r="P10" t="s">
        <v>119</v>
      </c>
      <c r="Q10">
        <v>1</v>
      </c>
      <c r="X10">
        <v>0.34</v>
      </c>
      <c r="Y10">
        <v>0</v>
      </c>
      <c r="Z10">
        <v>1725</v>
      </c>
      <c r="AA10">
        <v>861.72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0.34</v>
      </c>
      <c r="AH10">
        <v>2</v>
      </c>
      <c r="AI10">
        <v>75888618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.1796875" defaultRowHeight="12.9" x14ac:dyDescent="0.25"/>
  <cols>
    <col min="1" max="256" width="9.17968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Y12"/>
  <sheetViews>
    <sheetView workbookViewId="0"/>
  </sheetViews>
  <sheetFormatPr defaultColWidth="9.1796875" defaultRowHeight="12.9" x14ac:dyDescent="0.25"/>
  <cols>
    <col min="1" max="256" width="9.1796875" customWidth="1"/>
  </cols>
  <sheetData>
    <row r="1" spans="1:10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74398</v>
      </c>
      <c r="M1">
        <v>10</v>
      </c>
      <c r="N1">
        <v>11</v>
      </c>
      <c r="O1">
        <v>13</v>
      </c>
      <c r="P1">
        <v>0</v>
      </c>
      <c r="Q1">
        <v>1</v>
      </c>
    </row>
    <row r="12" spans="1:103" x14ac:dyDescent="0.25">
      <c r="F12" t="str">
        <f>Source!F12</f>
        <v>Новый объект</v>
      </c>
      <c r="G12" t="str">
        <f>Source!G12</f>
        <v>Оказание услуг по очистке кровли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</vt:lpstr>
      <vt:lpstr>Ведомость объемов работ</vt:lpstr>
      <vt:lpstr>Source</vt:lpstr>
      <vt:lpstr>SourceObSm</vt:lpstr>
      <vt:lpstr>SmtRes</vt:lpstr>
      <vt:lpstr>EtalonRes</vt:lpstr>
      <vt:lpstr>SrcPoprs</vt:lpstr>
      <vt:lpstr>SrcKA</vt:lpstr>
      <vt:lpstr>'Ведомость объемов работ'!Заголовки_для_печати</vt:lpstr>
      <vt:lpstr>'Смета СН-2012 по гл. 1-5'!Заголовки_для_печати</vt:lpstr>
      <vt:lpstr>'Ведомость объемов работ'!Область_печати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Головастов</dc:creator>
  <cp:lastModifiedBy>Анатолий Головастов</cp:lastModifiedBy>
  <dcterms:created xsi:type="dcterms:W3CDTF">2025-09-26T10:04:43Z</dcterms:created>
  <dcterms:modified xsi:type="dcterms:W3CDTF">2025-12-02T09:00:29Z</dcterms:modified>
</cp:coreProperties>
</file>